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28" yWindow="4788" windowWidth="19320" windowHeight="4872" tabRatio="742"/>
  </bookViews>
  <sheets>
    <sheet name="FinalFinal" sheetId="6" r:id="rId1"/>
  </sheets>
  <definedNames>
    <definedName name="_xlnm._FilterDatabase" localSheetId="0" hidden="1">FinalFinal!$A$1:$AT$1389</definedName>
  </definedNames>
  <calcPr calcId="145621"/>
</workbook>
</file>

<file path=xl/calcChain.xml><?xml version="1.0" encoding="utf-8"?>
<calcChain xmlns="http://schemas.openxmlformats.org/spreadsheetml/2006/main">
  <c r="AH694" i="6" l="1"/>
  <c r="U694" i="6"/>
  <c r="T694" i="6" s="1"/>
  <c r="AR693" i="6"/>
  <c r="AH693" i="6" s="1"/>
  <c r="T693" i="6" s="1"/>
  <c r="U693" i="6"/>
  <c r="AJ692" i="6"/>
  <c r="AI692" i="6"/>
  <c r="W692" i="6"/>
  <c r="U692" i="6" s="1"/>
  <c r="V692" i="6"/>
  <c r="AH691" i="6"/>
  <c r="U691" i="6"/>
  <c r="T691" i="6" s="1"/>
  <c r="U690" i="6"/>
  <c r="T690" i="6" s="1"/>
  <c r="AH689" i="6"/>
  <c r="U689" i="6"/>
  <c r="U688" i="6"/>
  <c r="T688" i="6"/>
  <c r="AQ687" i="6"/>
  <c r="AH687" i="6" s="1"/>
  <c r="AD687" i="6"/>
  <c r="U687" i="6" s="1"/>
  <c r="T687" i="6" s="1"/>
  <c r="W686" i="6"/>
  <c r="U686" i="6" s="1"/>
  <c r="T686" i="6" s="1"/>
  <c r="U685" i="6"/>
  <c r="T685" i="6" s="1"/>
  <c r="AI684" i="6"/>
  <c r="AH684" i="6" s="1"/>
  <c r="V684" i="6"/>
  <c r="U684" i="6"/>
  <c r="T684" i="6" s="1"/>
  <c r="AK683" i="6"/>
  <c r="AH683" i="6" s="1"/>
  <c r="X683" i="6"/>
  <c r="U683" i="6"/>
  <c r="T683" i="6" s="1"/>
  <c r="V682" i="6"/>
  <c r="U682" i="6" s="1"/>
  <c r="T682" i="6" s="1"/>
  <c r="AH681" i="6"/>
  <c r="T681" i="6" s="1"/>
  <c r="U681" i="6"/>
  <c r="U680" i="6"/>
  <c r="T680" i="6" s="1"/>
  <c r="AH679" i="6"/>
  <c r="T679" i="6" s="1"/>
  <c r="U679" i="6"/>
  <c r="V678" i="6"/>
  <c r="U678" i="6" s="1"/>
  <c r="T678" i="6" s="1"/>
  <c r="AH677" i="6"/>
  <c r="U677" i="6"/>
  <c r="AH676" i="6"/>
  <c r="U676" i="6"/>
  <c r="T676" i="6" s="1"/>
  <c r="AH675" i="6"/>
  <c r="U675" i="6"/>
  <c r="T675" i="6"/>
  <c r="AH674" i="6"/>
  <c r="W674" i="6"/>
  <c r="U674" i="6" s="1"/>
  <c r="T674" i="6" s="1"/>
  <c r="V673" i="6"/>
  <c r="U673" i="6" s="1"/>
  <c r="T673" i="6" s="1"/>
  <c r="AI672" i="6"/>
  <c r="AH672" i="6" s="1"/>
  <c r="V672" i="6"/>
  <c r="U672" i="6" s="1"/>
  <c r="T672" i="6" s="1"/>
  <c r="AK671" i="6"/>
  <c r="AH671" i="6" s="1"/>
  <c r="T671" i="6" s="1"/>
  <c r="U671" i="6"/>
  <c r="U670" i="6"/>
  <c r="T670" i="6" s="1"/>
  <c r="U669" i="6"/>
  <c r="T669" i="6" s="1"/>
  <c r="U668" i="6"/>
  <c r="T668" i="6" s="1"/>
  <c r="AR667" i="6"/>
  <c r="AH667" i="6"/>
  <c r="AE667" i="6"/>
  <c r="U667" i="6"/>
  <c r="T667" i="6" s="1"/>
  <c r="AH666" i="6"/>
  <c r="U666" i="6"/>
  <c r="AP665" i="6"/>
  <c r="AH665" i="6"/>
  <c r="T665" i="6" s="1"/>
  <c r="U665" i="6"/>
  <c r="U664" i="6"/>
  <c r="T664" i="6" s="1"/>
  <c r="W663" i="6"/>
  <c r="U663" i="6" s="1"/>
  <c r="T663" i="6" s="1"/>
  <c r="AI662" i="6"/>
  <c r="AH662" i="6" s="1"/>
  <c r="V662" i="6"/>
  <c r="U662" i="6" s="1"/>
  <c r="T662" i="6" s="1"/>
  <c r="AK661" i="6"/>
  <c r="AI661" i="6"/>
  <c r="AH661" i="6" s="1"/>
  <c r="T661" i="6" s="1"/>
  <c r="X661" i="6"/>
  <c r="U661" i="6" s="1"/>
  <c r="V660" i="6"/>
  <c r="U660" i="6"/>
  <c r="T660" i="6" s="1"/>
  <c r="AK659" i="6"/>
  <c r="AH659" i="6"/>
  <c r="U659" i="6"/>
  <c r="AI658" i="6"/>
  <c r="AH658" i="6" s="1"/>
  <c r="T658" i="6" s="1"/>
  <c r="U658" i="6"/>
  <c r="V657" i="6"/>
  <c r="U657" i="6" s="1"/>
  <c r="T657" i="6" s="1"/>
  <c r="AI656" i="6"/>
  <c r="AH656" i="6" s="1"/>
  <c r="V656" i="6"/>
  <c r="U656" i="6" s="1"/>
  <c r="T656" i="6" s="1"/>
  <c r="X655" i="6"/>
  <c r="U655" i="6"/>
  <c r="T655" i="6" s="1"/>
  <c r="X654" i="6"/>
  <c r="U654" i="6"/>
  <c r="T654" i="6" s="1"/>
  <c r="AH653" i="6"/>
  <c r="U653" i="6"/>
  <c r="AH652" i="6"/>
  <c r="U652" i="6"/>
  <c r="T652" i="6" s="1"/>
  <c r="V651" i="6"/>
  <c r="U651" i="6" s="1"/>
  <c r="T651" i="6" s="1"/>
  <c r="U650" i="6"/>
  <c r="T650" i="6" s="1"/>
  <c r="AE649" i="6"/>
  <c r="U649" i="6"/>
  <c r="T649" i="6" s="1"/>
  <c r="AH648" i="6"/>
  <c r="U648" i="6"/>
  <c r="AI647" i="6"/>
  <c r="AH647" i="6" s="1"/>
  <c r="V647" i="6"/>
  <c r="U647" i="6" s="1"/>
  <c r="T647" i="6" s="1"/>
  <c r="AH646" i="6"/>
  <c r="V646" i="6"/>
  <c r="U646" i="6" s="1"/>
  <c r="U645" i="6"/>
  <c r="T645" i="6" s="1"/>
  <c r="AI644" i="6"/>
  <c r="AH644" i="6" s="1"/>
  <c r="V644" i="6"/>
  <c r="U644" i="6"/>
  <c r="T644" i="6" s="1"/>
  <c r="AK643" i="6"/>
  <c r="AH643" i="6" s="1"/>
  <c r="X643" i="6"/>
  <c r="U643" i="6"/>
  <c r="AH642" i="6"/>
  <c r="U642" i="6"/>
  <c r="T642" i="6"/>
  <c r="U641" i="6"/>
  <c r="T641" i="6" s="1"/>
  <c r="AK640" i="6"/>
  <c r="AH640" i="6"/>
  <c r="X640" i="6"/>
  <c r="U640" i="6"/>
  <c r="T640" i="6" s="1"/>
  <c r="V639" i="6"/>
  <c r="U639" i="6"/>
  <c r="T639" i="6" s="1"/>
  <c r="V638" i="6"/>
  <c r="U638" i="6" s="1"/>
  <c r="T638" i="6" s="1"/>
  <c r="U637" i="6"/>
  <c r="T637" i="6" s="1"/>
  <c r="AH636" i="6"/>
  <c r="U636" i="6"/>
  <c r="T636" i="6" s="1"/>
  <c r="X635" i="6"/>
  <c r="U635" i="6"/>
  <c r="T635" i="6" s="1"/>
  <c r="AR634" i="6"/>
  <c r="AH634" i="6"/>
  <c r="V634" i="6"/>
  <c r="U634" i="6" s="1"/>
  <c r="AH633" i="6"/>
  <c r="U633" i="6"/>
  <c r="V632" i="6"/>
  <c r="U632" i="6" s="1"/>
  <c r="T632" i="6" s="1"/>
  <c r="V631" i="6"/>
  <c r="U631" i="6" s="1"/>
  <c r="T631" i="6" s="1"/>
  <c r="AI630" i="6"/>
  <c r="AH630" i="6" s="1"/>
  <c r="T630" i="6" s="1"/>
  <c r="V630" i="6"/>
  <c r="U630" i="6" s="1"/>
  <c r="AI629" i="6"/>
  <c r="AH629" i="6" s="1"/>
  <c r="V629" i="6"/>
  <c r="U629" i="6"/>
  <c r="T629" i="6" s="1"/>
  <c r="AI628" i="6"/>
  <c r="AH628" i="6" s="1"/>
  <c r="U628" i="6"/>
  <c r="AJ627" i="6"/>
  <c r="AH627" i="6" s="1"/>
  <c r="W627" i="6"/>
  <c r="U627" i="6" s="1"/>
  <c r="AI626" i="6"/>
  <c r="AH626" i="6" s="1"/>
  <c r="V626" i="6"/>
  <c r="U626" i="6" s="1"/>
  <c r="AH625" i="6"/>
  <c r="T625" i="6" s="1"/>
  <c r="U625" i="6"/>
  <c r="AH624" i="6"/>
  <c r="U624" i="6"/>
  <c r="T624" i="6" s="1"/>
  <c r="AH623" i="6"/>
  <c r="U623" i="6"/>
  <c r="T623" i="6"/>
  <c r="W622" i="6"/>
  <c r="U622" i="6"/>
  <c r="T622" i="6" s="1"/>
  <c r="V621" i="6"/>
  <c r="U621" i="6" s="1"/>
  <c r="T621" i="6" s="1"/>
  <c r="V620" i="6"/>
  <c r="U620" i="6" s="1"/>
  <c r="T620" i="6" s="1"/>
  <c r="AH619" i="6"/>
  <c r="U619" i="6"/>
  <c r="T619" i="6"/>
  <c r="AK618" i="6"/>
  <c r="AI618" i="6"/>
  <c r="X618" i="6"/>
  <c r="U618" i="6" s="1"/>
  <c r="AI617" i="6"/>
  <c r="AH617" i="6" s="1"/>
  <c r="V617" i="6"/>
  <c r="U617" i="6" s="1"/>
  <c r="AI616" i="6"/>
  <c r="AH616" i="6" s="1"/>
  <c r="V616" i="6"/>
  <c r="U616" i="6" s="1"/>
  <c r="T616" i="6" s="1"/>
  <c r="AM615" i="6"/>
  <c r="AH615" i="6" s="1"/>
  <c r="X615" i="6"/>
  <c r="U615" i="6"/>
  <c r="V614" i="6"/>
  <c r="U614" i="6"/>
  <c r="T614" i="6" s="1"/>
  <c r="U613" i="6"/>
  <c r="T613" i="6" s="1"/>
  <c r="U612" i="6"/>
  <c r="T612" i="6" s="1"/>
  <c r="U611" i="6"/>
  <c r="T611" i="6"/>
  <c r="U610" i="6"/>
  <c r="T610" i="6" s="1"/>
  <c r="Z609" i="6"/>
  <c r="U609" i="6" s="1"/>
  <c r="T609" i="6" s="1"/>
  <c r="V609" i="6"/>
  <c r="AH608" i="6"/>
  <c r="U608" i="6"/>
  <c r="AI607" i="6"/>
  <c r="AH607" i="6"/>
  <c r="T607" i="6" s="1"/>
  <c r="V607" i="6"/>
  <c r="U607" i="6" s="1"/>
  <c r="AI606" i="6"/>
  <c r="AH606" i="6" s="1"/>
  <c r="V606" i="6"/>
  <c r="U606" i="6" s="1"/>
  <c r="U605" i="6"/>
  <c r="T605" i="6"/>
  <c r="AK604" i="6"/>
  <c r="AH604" i="6" s="1"/>
  <c r="X604" i="6"/>
  <c r="U604" i="6" s="1"/>
  <c r="T604" i="6" s="1"/>
  <c r="W603" i="6"/>
  <c r="U603" i="6" s="1"/>
  <c r="T603" i="6" s="1"/>
  <c r="AR602" i="6"/>
  <c r="AH602" i="6" s="1"/>
  <c r="T602" i="6" s="1"/>
  <c r="U602" i="6"/>
  <c r="U601" i="6"/>
  <c r="T601" i="6" s="1"/>
  <c r="AK600" i="6"/>
  <c r="AH600" i="6"/>
  <c r="X600" i="6"/>
  <c r="U600" i="6" s="1"/>
  <c r="AH599" i="6"/>
  <c r="U599" i="6"/>
  <c r="AI598" i="6"/>
  <c r="AH598" i="6"/>
  <c r="V598" i="6"/>
  <c r="U598" i="6" s="1"/>
  <c r="AI597" i="6"/>
  <c r="AH597" i="6" s="1"/>
  <c r="V597" i="6"/>
  <c r="U597" i="6" s="1"/>
  <c r="T597" i="6" s="1"/>
  <c r="AI596" i="6"/>
  <c r="AH596" i="6" s="1"/>
  <c r="V596" i="6"/>
  <c r="U596" i="6" s="1"/>
  <c r="T596" i="6" s="1"/>
  <c r="U595" i="6"/>
  <c r="T595" i="6" s="1"/>
  <c r="U594" i="6"/>
  <c r="T594" i="6" s="1"/>
  <c r="W593" i="6"/>
  <c r="V593" i="6"/>
  <c r="U593" i="6"/>
  <c r="T593" i="6" s="1"/>
  <c r="AL592" i="6"/>
  <c r="AK592" i="6"/>
  <c r="AI592" i="6"/>
  <c r="X592" i="6"/>
  <c r="U592" i="6" s="1"/>
  <c r="AH591" i="6"/>
  <c r="U591" i="6"/>
  <c r="U590" i="6"/>
  <c r="T590" i="6"/>
  <c r="U589" i="6"/>
  <c r="T589" i="6"/>
  <c r="AH588" i="6"/>
  <c r="U588" i="6"/>
  <c r="T588" i="6" s="1"/>
  <c r="AM587" i="6"/>
  <c r="AJ587" i="6"/>
  <c r="AI587" i="6"/>
  <c r="Z587" i="6"/>
  <c r="W587" i="6"/>
  <c r="U587" i="6" s="1"/>
  <c r="V587" i="6"/>
  <c r="AK586" i="6"/>
  <c r="AH586" i="6"/>
  <c r="X586" i="6"/>
  <c r="U586" i="6"/>
  <c r="V585" i="6"/>
  <c r="U585" i="6" s="1"/>
  <c r="T585" i="6" s="1"/>
  <c r="U584" i="6"/>
  <c r="T584" i="6" s="1"/>
  <c r="AH583" i="6"/>
  <c r="U583" i="6"/>
  <c r="T583" i="6" s="1"/>
  <c r="AH582" i="6"/>
  <c r="U582" i="6"/>
  <c r="AM581" i="6"/>
  <c r="AH581" i="6"/>
  <c r="T581" i="6" s="1"/>
  <c r="Z581" i="6"/>
  <c r="U581" i="6" s="1"/>
  <c r="U580" i="6"/>
  <c r="T580" i="6"/>
  <c r="V579" i="6"/>
  <c r="U579" i="6" s="1"/>
  <c r="T579" i="6" s="1"/>
  <c r="AR578" i="6"/>
  <c r="AH578" i="6"/>
  <c r="V578" i="6"/>
  <c r="U578" i="6" s="1"/>
  <c r="AH577" i="6"/>
  <c r="T577" i="6" s="1"/>
  <c r="U577" i="6"/>
  <c r="AH576" i="6"/>
  <c r="U576" i="6"/>
  <c r="T576" i="6" s="1"/>
  <c r="AH575" i="6"/>
  <c r="U575" i="6"/>
  <c r="AH574" i="6"/>
  <c r="U574" i="6"/>
  <c r="U573" i="6"/>
  <c r="T573" i="6"/>
  <c r="U572" i="6"/>
  <c r="T572" i="6" s="1"/>
  <c r="U571" i="6"/>
  <c r="T571" i="6" s="1"/>
  <c r="AI570" i="6"/>
  <c r="AH570" i="6" s="1"/>
  <c r="V570" i="6"/>
  <c r="U570" i="6" s="1"/>
  <c r="U569" i="6"/>
  <c r="T569" i="6" s="1"/>
  <c r="U568" i="6"/>
  <c r="T568" i="6"/>
  <c r="U567" i="6"/>
  <c r="T567" i="6"/>
  <c r="AH566" i="6"/>
  <c r="V566" i="6"/>
  <c r="U566" i="6" s="1"/>
  <c r="T566" i="6" s="1"/>
  <c r="U565" i="6"/>
  <c r="T565" i="6"/>
  <c r="AI564" i="6"/>
  <c r="AH564" i="6"/>
  <c r="V564" i="6"/>
  <c r="U564" i="6" s="1"/>
  <c r="AI563" i="6"/>
  <c r="AH563" i="6" s="1"/>
  <c r="V563" i="6"/>
  <c r="U563" i="6" s="1"/>
  <c r="T563" i="6"/>
  <c r="U562" i="6"/>
  <c r="T562" i="6" s="1"/>
  <c r="U561" i="6"/>
  <c r="T561" i="6" s="1"/>
  <c r="W560" i="6"/>
  <c r="U560" i="6"/>
  <c r="T560" i="6" s="1"/>
  <c r="AH559" i="6"/>
  <c r="U559" i="6"/>
  <c r="T559" i="6"/>
  <c r="AH558" i="6"/>
  <c r="U558" i="6"/>
  <c r="AH557" i="6"/>
  <c r="U557" i="6"/>
  <c r="T557" i="6"/>
  <c r="AH556" i="6"/>
  <c r="U556" i="6"/>
  <c r="T556" i="6"/>
  <c r="V555" i="6"/>
  <c r="U555" i="6" s="1"/>
  <c r="T555" i="6" s="1"/>
  <c r="AH554" i="6"/>
  <c r="U554" i="6"/>
  <c r="T554" i="6" s="1"/>
  <c r="AI553" i="6"/>
  <c r="AH553" i="6" s="1"/>
  <c r="V553" i="6"/>
  <c r="U553" i="6" s="1"/>
  <c r="T553" i="6" s="1"/>
  <c r="AK552" i="6"/>
  <c r="AI552" i="6"/>
  <c r="X552" i="6"/>
  <c r="V552" i="6"/>
  <c r="AH551" i="6"/>
  <c r="V551" i="6"/>
  <c r="U551" i="6"/>
  <c r="T551" i="6" s="1"/>
  <c r="AK550" i="6"/>
  <c r="AH550" i="6" s="1"/>
  <c r="X550" i="6"/>
  <c r="U550" i="6" s="1"/>
  <c r="T550" i="6" s="1"/>
  <c r="V549" i="6"/>
  <c r="U549" i="6" s="1"/>
  <c r="T549" i="6" s="1"/>
  <c r="AI548" i="6"/>
  <c r="AH548" i="6" s="1"/>
  <c r="T548" i="6" s="1"/>
  <c r="V548" i="6"/>
  <c r="U548" i="6" s="1"/>
  <c r="AI547" i="6"/>
  <c r="AH547" i="6" s="1"/>
  <c r="V547" i="6"/>
  <c r="U547" i="6" s="1"/>
  <c r="AH546" i="6"/>
  <c r="U546" i="6"/>
  <c r="T546" i="6"/>
  <c r="AH545" i="6"/>
  <c r="U545" i="6"/>
  <c r="W544" i="6"/>
  <c r="U544" i="6" s="1"/>
  <c r="T544" i="6" s="1"/>
  <c r="U543" i="6"/>
  <c r="T543" i="6" s="1"/>
  <c r="W542" i="6"/>
  <c r="U542" i="6"/>
  <c r="T542" i="6" s="1"/>
  <c r="AQ541" i="6"/>
  <c r="AH541" i="6" s="1"/>
  <c r="T541" i="6" s="1"/>
  <c r="U541" i="6"/>
  <c r="AH540" i="6"/>
  <c r="U540" i="6"/>
  <c r="T540" i="6"/>
  <c r="AE539" i="6"/>
  <c r="U539" i="6" s="1"/>
  <c r="T539" i="6" s="1"/>
  <c r="V538" i="6"/>
  <c r="U538" i="6"/>
  <c r="T538" i="6"/>
  <c r="AH537" i="6"/>
  <c r="U537" i="6"/>
  <c r="T537" i="6" s="1"/>
  <c r="U536" i="6"/>
  <c r="T536" i="6" s="1"/>
  <c r="U535" i="6"/>
  <c r="T535" i="6" s="1"/>
  <c r="U534" i="6"/>
  <c r="T534" i="6" s="1"/>
  <c r="V533" i="6"/>
  <c r="U533" i="6"/>
  <c r="T533" i="6" s="1"/>
  <c r="AH532" i="6"/>
  <c r="T532" i="6" s="1"/>
  <c r="U532" i="6"/>
  <c r="AK531" i="6"/>
  <c r="AH531" i="6" s="1"/>
  <c r="X531" i="6"/>
  <c r="U531" i="6"/>
  <c r="AH530" i="6"/>
  <c r="T530" i="6" s="1"/>
  <c r="U530" i="6"/>
  <c r="AK529" i="6"/>
  <c r="AH529" i="6" s="1"/>
  <c r="U529" i="6"/>
  <c r="U528" i="6"/>
  <c r="T528" i="6"/>
  <c r="X527" i="6"/>
  <c r="U527" i="6"/>
  <c r="T527" i="6"/>
  <c r="V526" i="6"/>
  <c r="U526" i="6" s="1"/>
  <c r="T526" i="6" s="1"/>
  <c r="U525" i="6"/>
  <c r="T525" i="6" s="1"/>
  <c r="AH524" i="6"/>
  <c r="T524" i="6" s="1"/>
  <c r="U524" i="6"/>
  <c r="AH523" i="6"/>
  <c r="U523" i="6"/>
  <c r="T523" i="6" s="1"/>
  <c r="V522" i="6"/>
  <c r="U522" i="6"/>
  <c r="T522" i="6" s="1"/>
  <c r="U521" i="6"/>
  <c r="T521" i="6"/>
  <c r="U520" i="6"/>
  <c r="T520" i="6"/>
  <c r="AH519" i="6"/>
  <c r="U519" i="6"/>
  <c r="T519" i="6" s="1"/>
  <c r="AH518" i="6"/>
  <c r="U518" i="6"/>
  <c r="T518" i="6" s="1"/>
  <c r="U517" i="6"/>
  <c r="T517" i="6" s="1"/>
  <c r="AH516" i="6"/>
  <c r="U516" i="6"/>
  <c r="AI515" i="6"/>
  <c r="AH515" i="6" s="1"/>
  <c r="V515" i="6"/>
  <c r="U515" i="6" s="1"/>
  <c r="U514" i="6"/>
  <c r="T514" i="6"/>
  <c r="AD513" i="6"/>
  <c r="U513" i="6" s="1"/>
  <c r="T513" i="6" s="1"/>
  <c r="AH512" i="6"/>
  <c r="U512" i="6"/>
  <c r="T512" i="6"/>
  <c r="AH511" i="6"/>
  <c r="U511" i="6"/>
  <c r="AK510" i="6"/>
  <c r="AH510" i="6"/>
  <c r="T510" i="6" s="1"/>
  <c r="X510" i="6"/>
  <c r="U510" i="6" s="1"/>
  <c r="AK509" i="6"/>
  <c r="AH509" i="6"/>
  <c r="X509" i="6"/>
  <c r="U509" i="6" s="1"/>
  <c r="U508" i="6"/>
  <c r="T508" i="6" s="1"/>
  <c r="AH507" i="6"/>
  <c r="U507" i="6"/>
  <c r="T507" i="6" s="1"/>
  <c r="AI506" i="6"/>
  <c r="AH506" i="6" s="1"/>
  <c r="V506" i="6"/>
  <c r="U506" i="6"/>
  <c r="T506" i="6" s="1"/>
  <c r="AH505" i="6"/>
  <c r="T505" i="6" s="1"/>
  <c r="U505" i="6"/>
  <c r="AI504" i="6"/>
  <c r="AH504" i="6" s="1"/>
  <c r="V504" i="6"/>
  <c r="U504" i="6"/>
  <c r="T504" i="6" s="1"/>
  <c r="AI503" i="6"/>
  <c r="AH503" i="6"/>
  <c r="V503" i="6"/>
  <c r="U503" i="6" s="1"/>
  <c r="AI502" i="6"/>
  <c r="AH502" i="6" s="1"/>
  <c r="V502" i="6"/>
  <c r="U502" i="6" s="1"/>
  <c r="AK501" i="6"/>
  <c r="AH501" i="6" s="1"/>
  <c r="X501" i="6"/>
  <c r="U501" i="6"/>
  <c r="AK500" i="6"/>
  <c r="AH500" i="6" s="1"/>
  <c r="X500" i="6"/>
  <c r="U500" i="6" s="1"/>
  <c r="AH499" i="6"/>
  <c r="T499" i="6" s="1"/>
  <c r="U499" i="6"/>
  <c r="AH498" i="6"/>
  <c r="U498" i="6"/>
  <c r="T498" i="6" s="1"/>
  <c r="AK497" i="6"/>
  <c r="AH497" i="6" s="1"/>
  <c r="V497" i="6"/>
  <c r="U497" i="6" s="1"/>
  <c r="AI496" i="6"/>
  <c r="AH496" i="6" s="1"/>
  <c r="V496" i="6"/>
  <c r="U496" i="6"/>
  <c r="T496" i="6" s="1"/>
  <c r="U495" i="6"/>
  <c r="T495" i="6"/>
  <c r="AK494" i="6"/>
  <c r="AH494" i="6" s="1"/>
  <c r="X494" i="6"/>
  <c r="U494" i="6" s="1"/>
  <c r="T494" i="6" s="1"/>
  <c r="AH493" i="6"/>
  <c r="U493" i="6"/>
  <c r="U492" i="6"/>
  <c r="T492" i="6" s="1"/>
  <c r="U491" i="6"/>
  <c r="T491" i="6" s="1"/>
  <c r="AI490" i="6"/>
  <c r="AH490" i="6" s="1"/>
  <c r="V490" i="6"/>
  <c r="U490" i="6" s="1"/>
  <c r="AH489" i="6"/>
  <c r="U489" i="6"/>
  <c r="AL488" i="6"/>
  <c r="AK488" i="6"/>
  <c r="AI488" i="6"/>
  <c r="Y488" i="6"/>
  <c r="U488" i="6" s="1"/>
  <c r="AH487" i="6"/>
  <c r="U487" i="6"/>
  <c r="AI486" i="6"/>
  <c r="AH486" i="6" s="1"/>
  <c r="V486" i="6"/>
  <c r="U486" i="6" s="1"/>
  <c r="X485" i="6"/>
  <c r="U485" i="6" s="1"/>
  <c r="T485" i="6" s="1"/>
  <c r="AP484" i="6"/>
  <c r="AK484" i="6"/>
  <c r="AH484" i="6" s="1"/>
  <c r="AC484" i="6"/>
  <c r="U484" i="6" s="1"/>
  <c r="T484" i="6" s="1"/>
  <c r="AL483" i="6"/>
  <c r="AH483" i="6" s="1"/>
  <c r="Z483" i="6"/>
  <c r="Y483" i="6"/>
  <c r="U483" i="6"/>
  <c r="AH482" i="6"/>
  <c r="U482" i="6"/>
  <c r="T482" i="6" s="1"/>
  <c r="U481" i="6"/>
  <c r="T481" i="6" s="1"/>
  <c r="AH480" i="6"/>
  <c r="V480" i="6"/>
  <c r="U480" i="6" s="1"/>
  <c r="U479" i="6"/>
  <c r="T479" i="6" s="1"/>
  <c r="AH478" i="6"/>
  <c r="U478" i="6"/>
  <c r="AK477" i="6"/>
  <c r="AH477" i="6" s="1"/>
  <c r="X477" i="6"/>
  <c r="U477" i="6" s="1"/>
  <c r="AH476" i="6"/>
  <c r="T476" i="6" s="1"/>
  <c r="U476" i="6"/>
  <c r="V475" i="6"/>
  <c r="U475" i="6" s="1"/>
  <c r="T475" i="6" s="1"/>
  <c r="AK474" i="6"/>
  <c r="AH474" i="6" s="1"/>
  <c r="X474" i="6"/>
  <c r="U474" i="6" s="1"/>
  <c r="AK473" i="6"/>
  <c r="AI473" i="6"/>
  <c r="AH473" i="6" s="1"/>
  <c r="V473" i="6"/>
  <c r="U473" i="6" s="1"/>
  <c r="U472" i="6"/>
  <c r="T472" i="6" s="1"/>
  <c r="U471" i="6"/>
  <c r="T471" i="6" s="1"/>
  <c r="AK470" i="6"/>
  <c r="AH470" i="6" s="1"/>
  <c r="X470" i="6"/>
  <c r="U470" i="6"/>
  <c r="T470" i="6" s="1"/>
  <c r="AH469" i="6"/>
  <c r="V469" i="6"/>
  <c r="U469" i="6" s="1"/>
  <c r="U468" i="6"/>
  <c r="T468" i="6" s="1"/>
  <c r="AH467" i="6"/>
  <c r="U467" i="6"/>
  <c r="V466" i="6"/>
  <c r="U466" i="6" s="1"/>
  <c r="T466" i="6"/>
  <c r="AI465" i="6"/>
  <c r="AH465" i="6" s="1"/>
  <c r="V465" i="6"/>
  <c r="U465" i="6" s="1"/>
  <c r="V464" i="6"/>
  <c r="U464" i="6" s="1"/>
  <c r="T464" i="6" s="1"/>
  <c r="U463" i="6"/>
  <c r="T463" i="6" s="1"/>
  <c r="AH462" i="6"/>
  <c r="U462" i="6"/>
  <c r="U461" i="6"/>
  <c r="T461" i="6" s="1"/>
  <c r="AH460" i="6"/>
  <c r="U460" i="6"/>
  <c r="T460" i="6" s="1"/>
  <c r="AK459" i="6"/>
  <c r="AH459" i="6" s="1"/>
  <c r="X459" i="6"/>
  <c r="U459" i="6" s="1"/>
  <c r="U458" i="6"/>
  <c r="T458" i="6" s="1"/>
  <c r="AI457" i="6"/>
  <c r="AH457" i="6" s="1"/>
  <c r="U457" i="6"/>
  <c r="AH456" i="6"/>
  <c r="U456" i="6"/>
  <c r="T456" i="6" s="1"/>
  <c r="AH455" i="6"/>
  <c r="U455" i="6"/>
  <c r="AH454" i="6"/>
  <c r="T454" i="6" s="1"/>
  <c r="U454" i="6"/>
  <c r="U453" i="6"/>
  <c r="T453" i="6" s="1"/>
  <c r="AH452" i="6"/>
  <c r="U452" i="6"/>
  <c r="U451" i="6"/>
  <c r="T451" i="6"/>
  <c r="AH450" i="6"/>
  <c r="U450" i="6"/>
  <c r="U449" i="6"/>
  <c r="T449" i="6" s="1"/>
  <c r="AJ448" i="6"/>
  <c r="AH448" i="6" s="1"/>
  <c r="AI448" i="6"/>
  <c r="V448" i="6"/>
  <c r="U448" i="6" s="1"/>
  <c r="T448" i="6" s="1"/>
  <c r="V447" i="6"/>
  <c r="U447" i="6" s="1"/>
  <c r="T447" i="6" s="1"/>
  <c r="U446" i="6"/>
  <c r="T446" i="6" s="1"/>
  <c r="AK445" i="6"/>
  <c r="AH445" i="6" s="1"/>
  <c r="X445" i="6"/>
  <c r="U445" i="6" s="1"/>
  <c r="T445" i="6" s="1"/>
  <c r="AQ444" i="6"/>
  <c r="AH444" i="6" s="1"/>
  <c r="AI444" i="6"/>
  <c r="AD444" i="6"/>
  <c r="U444" i="6" s="1"/>
  <c r="T444" i="6" s="1"/>
  <c r="AH443" i="6"/>
  <c r="T443" i="6" s="1"/>
  <c r="U443" i="6"/>
  <c r="AH442" i="6"/>
  <c r="U442" i="6"/>
  <c r="T442" i="6" s="1"/>
  <c r="Z441" i="6"/>
  <c r="U441" i="6" s="1"/>
  <c r="T441" i="6" s="1"/>
  <c r="W440" i="6"/>
  <c r="U440" i="6"/>
  <c r="T440" i="6" s="1"/>
  <c r="AQ439" i="6"/>
  <c r="AH439" i="6"/>
  <c r="AD439" i="6"/>
  <c r="U439" i="6"/>
  <c r="AH438" i="6"/>
  <c r="U438" i="6"/>
  <c r="U437" i="6"/>
  <c r="T437" i="6"/>
  <c r="U436" i="6"/>
  <c r="T436" i="6"/>
  <c r="AI434" i="6"/>
  <c r="AH434" i="6" s="1"/>
  <c r="V434" i="6"/>
  <c r="U434" i="6" s="1"/>
  <c r="AH433" i="6"/>
  <c r="U433" i="6"/>
  <c r="T433" i="6"/>
  <c r="U432" i="6"/>
  <c r="T432" i="6" s="1"/>
  <c r="AM431" i="6"/>
  <c r="AH431" i="6" s="1"/>
  <c r="AI431" i="6"/>
  <c r="V431" i="6"/>
  <c r="U431" i="6" s="1"/>
  <c r="T431" i="6" s="1"/>
  <c r="AH430" i="6"/>
  <c r="U430" i="6"/>
  <c r="T430" i="6" s="1"/>
  <c r="AK429" i="6"/>
  <c r="AH429" i="6"/>
  <c r="T429" i="6" s="1"/>
  <c r="X429" i="6"/>
  <c r="U429" i="6" s="1"/>
  <c r="U428" i="6"/>
  <c r="T428" i="6"/>
  <c r="AI427" i="6"/>
  <c r="AH427" i="6" s="1"/>
  <c r="V427" i="6"/>
  <c r="U427" i="6"/>
  <c r="U426" i="6"/>
  <c r="T426" i="6" s="1"/>
  <c r="U425" i="6"/>
  <c r="T425" i="6" s="1"/>
  <c r="AR424" i="6"/>
  <c r="AH424" i="6" s="1"/>
  <c r="U424" i="6"/>
  <c r="T424" i="6" s="1"/>
  <c r="AH423" i="6"/>
  <c r="U423" i="6"/>
  <c r="AH422" i="6"/>
  <c r="U422" i="6"/>
  <c r="U421" i="6"/>
  <c r="T421" i="6" s="1"/>
  <c r="U420" i="6"/>
  <c r="T420" i="6" s="1"/>
  <c r="AK419" i="6"/>
  <c r="AH419" i="6" s="1"/>
  <c r="X419" i="6"/>
  <c r="U419" i="6" s="1"/>
  <c r="V418" i="6"/>
  <c r="U418" i="6"/>
  <c r="T418" i="6"/>
  <c r="U417" i="6"/>
  <c r="T417" i="6" s="1"/>
  <c r="AI416" i="6"/>
  <c r="AH416" i="6" s="1"/>
  <c r="U416" i="6"/>
  <c r="T416" i="6" s="1"/>
  <c r="U415" i="6"/>
  <c r="T415" i="6" s="1"/>
  <c r="U414" i="6"/>
  <c r="T414" i="6" s="1"/>
  <c r="AI413" i="6"/>
  <c r="AH413" i="6" s="1"/>
  <c r="V413" i="6"/>
  <c r="U413" i="6" s="1"/>
  <c r="AK412" i="6"/>
  <c r="AH412" i="6" s="1"/>
  <c r="X412" i="6"/>
  <c r="U412" i="6" s="1"/>
  <c r="AR411" i="6"/>
  <c r="AH411" i="6" s="1"/>
  <c r="V411" i="6"/>
  <c r="U411" i="6" s="1"/>
  <c r="T411" i="6" s="1"/>
  <c r="V410" i="6"/>
  <c r="U410" i="6" s="1"/>
  <c r="T410" i="6" s="1"/>
  <c r="AI409" i="6"/>
  <c r="AH409" i="6" s="1"/>
  <c r="V409" i="6"/>
  <c r="U409" i="6" s="1"/>
  <c r="U408" i="6"/>
  <c r="T408" i="6" s="1"/>
  <c r="X407" i="6"/>
  <c r="U407" i="6"/>
  <c r="T407" i="6" s="1"/>
  <c r="U406" i="6"/>
  <c r="T406" i="6"/>
  <c r="AH405" i="6"/>
  <c r="AD405" i="6"/>
  <c r="U405" i="6" s="1"/>
  <c r="AI404" i="6"/>
  <c r="AH404" i="6" s="1"/>
  <c r="V404" i="6"/>
  <c r="U404" i="6" s="1"/>
  <c r="T404" i="6" s="1"/>
  <c r="AH403" i="6"/>
  <c r="T403" i="6" s="1"/>
  <c r="U403" i="6"/>
  <c r="AH402" i="6"/>
  <c r="U402" i="6"/>
  <c r="AH401" i="6"/>
  <c r="U401" i="6"/>
  <c r="T401" i="6" s="1"/>
  <c r="AH400" i="6"/>
  <c r="U400" i="6"/>
  <c r="AI399" i="6"/>
  <c r="AH399" i="6"/>
  <c r="V399" i="6"/>
  <c r="U399" i="6" s="1"/>
  <c r="T399" i="6" s="1"/>
  <c r="AK398" i="6"/>
  <c r="AH398" i="6" s="1"/>
  <c r="X398" i="6"/>
  <c r="U398" i="6" s="1"/>
  <c r="V398" i="6"/>
  <c r="AK397" i="6"/>
  <c r="AH397" i="6"/>
  <c r="X397" i="6"/>
  <c r="U397" i="6" s="1"/>
  <c r="AH396" i="6"/>
  <c r="U396" i="6"/>
  <c r="T396" i="6"/>
  <c r="AD395" i="6"/>
  <c r="U395" i="6"/>
  <c r="T395" i="6" s="1"/>
  <c r="U394" i="6"/>
  <c r="T394" i="6"/>
  <c r="AH393" i="6"/>
  <c r="U393" i="6"/>
  <c r="T393" i="6" s="1"/>
  <c r="AH392" i="6"/>
  <c r="U392" i="6"/>
  <c r="V391" i="6"/>
  <c r="U391" i="6"/>
  <c r="T391" i="6" s="1"/>
  <c r="AH390" i="6"/>
  <c r="U390" i="6"/>
  <c r="T390" i="6" s="1"/>
  <c r="V389" i="6"/>
  <c r="U389" i="6" s="1"/>
  <c r="T389" i="6"/>
  <c r="U388" i="6"/>
  <c r="T388" i="6" s="1"/>
  <c r="AI387" i="6"/>
  <c r="AH387" i="6" s="1"/>
  <c r="V387" i="6"/>
  <c r="U387" i="6"/>
  <c r="U386" i="6"/>
  <c r="T386" i="6" s="1"/>
  <c r="AH385" i="6"/>
  <c r="T385" i="6" s="1"/>
  <c r="U385" i="6"/>
  <c r="AH384" i="6"/>
  <c r="U384" i="6"/>
  <c r="AI383" i="6"/>
  <c r="AH383" i="6" s="1"/>
  <c r="U383" i="6"/>
  <c r="T383" i="6"/>
  <c r="U382" i="6"/>
  <c r="T382" i="6" s="1"/>
  <c r="V381" i="6"/>
  <c r="U381" i="6" s="1"/>
  <c r="T381" i="6" s="1"/>
  <c r="U380" i="6"/>
  <c r="T380" i="6" s="1"/>
  <c r="AH379" i="6"/>
  <c r="U379" i="6"/>
  <c r="V378" i="6"/>
  <c r="U378" i="6" s="1"/>
  <c r="T378" i="6" s="1"/>
  <c r="U377" i="6"/>
  <c r="T377" i="6" s="1"/>
  <c r="AH376" i="6"/>
  <c r="U376" i="6"/>
  <c r="T376" i="6"/>
  <c r="AR375" i="6"/>
  <c r="AH375" i="6"/>
  <c r="AE375" i="6"/>
  <c r="U375" i="6"/>
  <c r="AK374" i="6"/>
  <c r="AH374" i="6" s="1"/>
  <c r="X374" i="6"/>
  <c r="U374" i="6" s="1"/>
  <c r="AK373" i="6"/>
  <c r="AH373" i="6" s="1"/>
  <c r="X373" i="6"/>
  <c r="U373" i="6"/>
  <c r="AL372" i="6"/>
  <c r="AI372" i="6"/>
  <c r="V372" i="6"/>
  <c r="U372" i="6"/>
  <c r="AR371" i="6"/>
  <c r="AH371" i="6" s="1"/>
  <c r="U371" i="6"/>
  <c r="V370" i="6"/>
  <c r="U370" i="6" s="1"/>
  <c r="T370" i="6"/>
  <c r="U369" i="6"/>
  <c r="T369" i="6" s="1"/>
  <c r="AI368" i="6"/>
  <c r="AH368" i="6" s="1"/>
  <c r="V368" i="6"/>
  <c r="U368" i="6" s="1"/>
  <c r="T368" i="6" s="1"/>
  <c r="AK367" i="6"/>
  <c r="AH367" i="6" s="1"/>
  <c r="X367" i="6"/>
  <c r="U367" i="6"/>
  <c r="T367" i="6"/>
  <c r="AH366" i="6"/>
  <c r="T366" i="6" s="1"/>
  <c r="U366" i="6"/>
  <c r="AI365" i="6"/>
  <c r="AH365" i="6" s="1"/>
  <c r="V365" i="6"/>
  <c r="U365" i="6" s="1"/>
  <c r="T365" i="6"/>
  <c r="AH364" i="6"/>
  <c r="U364" i="6"/>
  <c r="AI363" i="6"/>
  <c r="AH363" i="6" s="1"/>
  <c r="V363" i="6"/>
  <c r="U363" i="6" s="1"/>
  <c r="T363" i="6" s="1"/>
  <c r="AK362" i="6"/>
  <c r="AH362" i="6" s="1"/>
  <c r="X362" i="6"/>
  <c r="U362" i="6" s="1"/>
  <c r="T362" i="6" s="1"/>
  <c r="U361" i="6"/>
  <c r="T361" i="6" s="1"/>
  <c r="AR360" i="6"/>
  <c r="AH360" i="6" s="1"/>
  <c r="AD360" i="6"/>
  <c r="U360" i="6" s="1"/>
  <c r="U359" i="6"/>
  <c r="T359" i="6"/>
  <c r="AI358" i="6"/>
  <c r="AH358" i="6"/>
  <c r="V358" i="6"/>
  <c r="U358" i="6"/>
  <c r="T358" i="6" s="1"/>
  <c r="AH357" i="6"/>
  <c r="U357" i="6"/>
  <c r="T357" i="6"/>
  <c r="U356" i="6"/>
  <c r="T356" i="6"/>
  <c r="AK355" i="6"/>
  <c r="AH355" i="6"/>
  <c r="X355" i="6"/>
  <c r="U355" i="6" s="1"/>
  <c r="AH354" i="6"/>
  <c r="U354" i="6"/>
  <c r="AH353" i="6"/>
  <c r="U353" i="6"/>
  <c r="AI352" i="6"/>
  <c r="AH352" i="6" s="1"/>
  <c r="V352" i="6"/>
  <c r="U352" i="6" s="1"/>
  <c r="AK351" i="6"/>
  <c r="AH351" i="6" s="1"/>
  <c r="X351" i="6"/>
  <c r="U351" i="6" s="1"/>
  <c r="U350" i="6"/>
  <c r="T350" i="6" s="1"/>
  <c r="AH349" i="6"/>
  <c r="U349" i="6"/>
  <c r="U348" i="6"/>
  <c r="T348" i="6" s="1"/>
  <c r="AI347" i="6"/>
  <c r="AH347" i="6" s="1"/>
  <c r="U347" i="6"/>
  <c r="U346" i="6"/>
  <c r="T346" i="6" s="1"/>
  <c r="AH345" i="6"/>
  <c r="U345" i="6"/>
  <c r="T345" i="6" s="1"/>
  <c r="U344" i="6"/>
  <c r="T344" i="6" s="1"/>
  <c r="U343" i="6"/>
  <c r="T343" i="6" s="1"/>
  <c r="AM342" i="6"/>
  <c r="AK342" i="6"/>
  <c r="AI342" i="6"/>
  <c r="W342" i="6"/>
  <c r="V342" i="6"/>
  <c r="U342" i="6"/>
  <c r="V341" i="6"/>
  <c r="U341" i="6"/>
  <c r="T341" i="6" s="1"/>
  <c r="AI340" i="6"/>
  <c r="AH340" i="6" s="1"/>
  <c r="T340" i="6" s="1"/>
  <c r="U340" i="6"/>
  <c r="AI339" i="6"/>
  <c r="AH339" i="6" s="1"/>
  <c r="V339" i="6"/>
  <c r="U339" i="6" s="1"/>
  <c r="AH338" i="6"/>
  <c r="U338" i="6"/>
  <c r="T338" i="6"/>
  <c r="V337" i="6"/>
  <c r="U337" i="6" s="1"/>
  <c r="T337" i="6" s="1"/>
  <c r="AL336" i="6"/>
  <c r="AH336" i="6" s="1"/>
  <c r="AK336" i="6"/>
  <c r="X336" i="6"/>
  <c r="U336" i="6" s="1"/>
  <c r="T336" i="6"/>
  <c r="AI335" i="6"/>
  <c r="AH335" i="6" s="1"/>
  <c r="V335" i="6"/>
  <c r="U335" i="6" s="1"/>
  <c r="T335" i="6" s="1"/>
  <c r="V334" i="6"/>
  <c r="U334" i="6" s="1"/>
  <c r="T334" i="6" s="1"/>
  <c r="AK333" i="6"/>
  <c r="AH333" i="6" s="1"/>
  <c r="T333" i="6" s="1"/>
  <c r="X333" i="6"/>
  <c r="U333" i="6" s="1"/>
  <c r="AI332" i="6"/>
  <c r="AH332" i="6" s="1"/>
  <c r="X332" i="6"/>
  <c r="U332" i="6" s="1"/>
  <c r="T332" i="6" s="1"/>
  <c r="V331" i="6"/>
  <c r="U331" i="6" s="1"/>
  <c r="T331" i="6" s="1"/>
  <c r="AI330" i="6"/>
  <c r="AH330" i="6"/>
  <c r="V330" i="6"/>
  <c r="U330" i="6" s="1"/>
  <c r="T330" i="6" s="1"/>
  <c r="AJ329" i="6"/>
  <c r="AI329" i="6"/>
  <c r="W329" i="6"/>
  <c r="U329" i="6" s="1"/>
  <c r="U328" i="6"/>
  <c r="T328" i="6" s="1"/>
  <c r="AK327" i="6"/>
  <c r="AH327" i="6" s="1"/>
  <c r="X327" i="6"/>
  <c r="U327" i="6" s="1"/>
  <c r="T327" i="6"/>
  <c r="AK326" i="6"/>
  <c r="AH326" i="6" s="1"/>
  <c r="X326" i="6"/>
  <c r="U326" i="6"/>
  <c r="AK325" i="6"/>
  <c r="AH325" i="6" s="1"/>
  <c r="X325" i="6"/>
  <c r="U325" i="6" s="1"/>
  <c r="AI324" i="6"/>
  <c r="AH324" i="6"/>
  <c r="V324" i="6"/>
  <c r="U324" i="6"/>
  <c r="T324" i="6" s="1"/>
  <c r="U323" i="6"/>
  <c r="T323" i="6" s="1"/>
  <c r="AJ322" i="6"/>
  <c r="AI322" i="6"/>
  <c r="AH322" i="6" s="1"/>
  <c r="V322" i="6"/>
  <c r="U322" i="6"/>
  <c r="T322" i="6" s="1"/>
  <c r="AI321" i="6"/>
  <c r="AH321" i="6" s="1"/>
  <c r="V321" i="6"/>
  <c r="U321" i="6" s="1"/>
  <c r="AH320" i="6"/>
  <c r="U320" i="6"/>
  <c r="T320" i="6" s="1"/>
  <c r="U319" i="6"/>
  <c r="T319" i="6"/>
  <c r="AI318" i="6"/>
  <c r="AH318" i="6" s="1"/>
  <c r="T318" i="6" s="1"/>
  <c r="V318" i="6"/>
  <c r="U318" i="6" s="1"/>
  <c r="U317" i="6"/>
  <c r="T317" i="6"/>
  <c r="V316" i="6"/>
  <c r="U316" i="6" s="1"/>
  <c r="T316" i="6" s="1"/>
  <c r="AI315" i="6"/>
  <c r="AH315" i="6" s="1"/>
  <c r="V315" i="6"/>
  <c r="U315" i="6" s="1"/>
  <c r="AH314" i="6"/>
  <c r="U314" i="6"/>
  <c r="T314" i="6" s="1"/>
  <c r="V313" i="6"/>
  <c r="U313" i="6" s="1"/>
  <c r="T313" i="6" s="1"/>
  <c r="AJ312" i="6"/>
  <c r="AH312" i="6" s="1"/>
  <c r="W312" i="6"/>
  <c r="U312" i="6" s="1"/>
  <c r="AK311" i="6"/>
  <c r="AI311" i="6"/>
  <c r="AH311" i="6" s="1"/>
  <c r="Z311" i="6"/>
  <c r="X311" i="6"/>
  <c r="U311" i="6"/>
  <c r="T311" i="6" s="1"/>
  <c r="AP310" i="6"/>
  <c r="AK310" i="6"/>
  <c r="AH310" i="6" s="1"/>
  <c r="AI310" i="6"/>
  <c r="Y310" i="6"/>
  <c r="X310" i="6"/>
  <c r="V309" i="6"/>
  <c r="U309" i="6"/>
  <c r="T309" i="6" s="1"/>
  <c r="AH308" i="6"/>
  <c r="T308" i="6" s="1"/>
  <c r="U308" i="6"/>
  <c r="U307" i="6"/>
  <c r="T307" i="6" s="1"/>
  <c r="AI306" i="6"/>
  <c r="AH306" i="6" s="1"/>
  <c r="V306" i="6"/>
  <c r="U306" i="6" s="1"/>
  <c r="T306" i="6" s="1"/>
  <c r="U305" i="6"/>
  <c r="T305" i="6" s="1"/>
  <c r="AI304" i="6"/>
  <c r="AH304" i="6" s="1"/>
  <c r="U304" i="6"/>
  <c r="V303" i="6"/>
  <c r="U303" i="6" s="1"/>
  <c r="T303" i="6"/>
  <c r="AH302" i="6"/>
  <c r="U302" i="6"/>
  <c r="AI301" i="6"/>
  <c r="AH301" i="6" s="1"/>
  <c r="U301" i="6"/>
  <c r="T301" i="6" s="1"/>
  <c r="V300" i="6"/>
  <c r="U300" i="6"/>
  <c r="T300" i="6" s="1"/>
  <c r="U299" i="6"/>
  <c r="T299" i="6"/>
  <c r="AK298" i="6"/>
  <c r="AH298" i="6"/>
  <c r="V298" i="6"/>
  <c r="U298" i="6" s="1"/>
  <c r="AJ297" i="6"/>
  <c r="AH297" i="6" s="1"/>
  <c r="W297" i="6"/>
  <c r="U297" i="6" s="1"/>
  <c r="T297" i="6"/>
  <c r="U296" i="6"/>
  <c r="T296" i="6"/>
  <c r="U295" i="6"/>
  <c r="T295" i="6" s="1"/>
  <c r="AM294" i="6"/>
  <c r="AH294" i="6" s="1"/>
  <c r="V294" i="6"/>
  <c r="U294" i="6" s="1"/>
  <c r="T294" i="6" s="1"/>
  <c r="V293" i="6"/>
  <c r="U293" i="6"/>
  <c r="T293" i="6" s="1"/>
  <c r="U292" i="6"/>
  <c r="T292" i="6"/>
  <c r="AI291" i="6"/>
  <c r="AH291" i="6"/>
  <c r="V291" i="6"/>
  <c r="U291" i="6"/>
  <c r="T291" i="6" s="1"/>
  <c r="AK290" i="6"/>
  <c r="AH290" i="6" s="1"/>
  <c r="X290" i="6"/>
  <c r="U290" i="6" s="1"/>
  <c r="T290" i="6" s="1"/>
  <c r="U289" i="6"/>
  <c r="T289" i="6" s="1"/>
  <c r="AQ288" i="6"/>
  <c r="AH288" i="6" s="1"/>
  <c r="AD288" i="6"/>
  <c r="U288" i="6"/>
  <c r="AE287" i="6"/>
  <c r="V287" i="6"/>
  <c r="U287" i="6"/>
  <c r="T287" i="6" s="1"/>
  <c r="AI286" i="6"/>
  <c r="AH286" i="6" s="1"/>
  <c r="T286" i="6" s="1"/>
  <c r="V286" i="6"/>
  <c r="U286" i="6" s="1"/>
  <c r="V285" i="6"/>
  <c r="U285" i="6" s="1"/>
  <c r="T285" i="6" s="1"/>
  <c r="AH284" i="6"/>
  <c r="T284" i="6" s="1"/>
  <c r="U284" i="6"/>
  <c r="AJ283" i="6"/>
  <c r="AH283" i="6"/>
  <c r="V283" i="6"/>
  <c r="U283" i="6"/>
  <c r="U282" i="6"/>
  <c r="T282" i="6" s="1"/>
  <c r="W281" i="6"/>
  <c r="U281" i="6" s="1"/>
  <c r="T281" i="6" s="1"/>
  <c r="AH280" i="6"/>
  <c r="U280" i="6"/>
  <c r="AH279" i="6"/>
  <c r="V279" i="6"/>
  <c r="U279" i="6"/>
  <c r="AH278" i="6"/>
  <c r="X278" i="6"/>
  <c r="U278" i="6" s="1"/>
  <c r="T278" i="6" s="1"/>
  <c r="AH277" i="6"/>
  <c r="U277" i="6"/>
  <c r="T277" i="6" s="1"/>
  <c r="AH276" i="6"/>
  <c r="T276" i="6" s="1"/>
  <c r="U276" i="6"/>
  <c r="AH275" i="6"/>
  <c r="U275" i="6"/>
  <c r="AH274" i="6"/>
  <c r="U274" i="6"/>
  <c r="T274" i="6" s="1"/>
  <c r="AH273" i="6"/>
  <c r="U273" i="6"/>
  <c r="V272" i="6"/>
  <c r="U272" i="6" s="1"/>
  <c r="T272" i="6" s="1"/>
  <c r="AH271" i="6"/>
  <c r="T271" i="6" s="1"/>
  <c r="U271" i="6"/>
  <c r="U270" i="6"/>
  <c r="T270" i="6" s="1"/>
  <c r="AI269" i="6"/>
  <c r="AH269" i="6" s="1"/>
  <c r="V269" i="6"/>
  <c r="U269" i="6" s="1"/>
  <c r="AI268" i="6"/>
  <c r="AH268" i="6"/>
  <c r="T268" i="6" s="1"/>
  <c r="U268" i="6"/>
  <c r="U267" i="6"/>
  <c r="T267" i="6" s="1"/>
  <c r="AR266" i="6"/>
  <c r="AI266" i="6"/>
  <c r="V266" i="6"/>
  <c r="U266" i="6" s="1"/>
  <c r="U265" i="6"/>
  <c r="T265" i="6" s="1"/>
  <c r="AH264" i="6"/>
  <c r="T264" i="6" s="1"/>
  <c r="U264" i="6"/>
  <c r="AH263" i="6"/>
  <c r="U263" i="6"/>
  <c r="V262" i="6"/>
  <c r="U262" i="6" s="1"/>
  <c r="T262" i="6"/>
  <c r="AI261" i="6"/>
  <c r="AH261" i="6" s="1"/>
  <c r="T261" i="6" s="1"/>
  <c r="V261" i="6"/>
  <c r="U261" i="6" s="1"/>
  <c r="AH260" i="6"/>
  <c r="U260" i="6"/>
  <c r="T260" i="6"/>
  <c r="AI259" i="6"/>
  <c r="AH259" i="6" s="1"/>
  <c r="V259" i="6"/>
  <c r="U259" i="6" s="1"/>
  <c r="T259" i="6" s="1"/>
  <c r="AK258" i="6"/>
  <c r="AH258" i="6" s="1"/>
  <c r="X258" i="6"/>
  <c r="U258" i="6" s="1"/>
  <c r="T258" i="6"/>
  <c r="AH257" i="6"/>
  <c r="U257" i="6"/>
  <c r="AK256" i="6"/>
  <c r="AH256" i="6" s="1"/>
  <c r="X256" i="6"/>
  <c r="U256" i="6" s="1"/>
  <c r="T256" i="6"/>
  <c r="AI255" i="6"/>
  <c r="AH255" i="6"/>
  <c r="V255" i="6"/>
  <c r="U255" i="6" s="1"/>
  <c r="T255" i="6" s="1"/>
  <c r="AK254" i="6"/>
  <c r="AH254" i="6" s="1"/>
  <c r="X254" i="6"/>
  <c r="U254" i="6"/>
  <c r="T254" i="6" s="1"/>
  <c r="AH253" i="6"/>
  <c r="U253" i="6"/>
  <c r="U252" i="6"/>
  <c r="T252" i="6" s="1"/>
  <c r="AH251" i="6"/>
  <c r="V251" i="6"/>
  <c r="U251" i="6" s="1"/>
  <c r="T251" i="6" s="1"/>
  <c r="AH250" i="6"/>
  <c r="U250" i="6"/>
  <c r="T250" i="6" s="1"/>
  <c r="U249" i="6"/>
  <c r="T249" i="6" s="1"/>
  <c r="U248" i="6"/>
  <c r="T248" i="6" s="1"/>
  <c r="U247" i="6"/>
  <c r="T247" i="6" s="1"/>
  <c r="U246" i="6"/>
  <c r="T246" i="6" s="1"/>
  <c r="AH245" i="6"/>
  <c r="U245" i="6"/>
  <c r="U244" i="6"/>
  <c r="T244" i="6" s="1"/>
  <c r="AH243" i="6"/>
  <c r="U243" i="6"/>
  <c r="T243" i="6"/>
  <c r="U242" i="6"/>
  <c r="T242" i="6" s="1"/>
  <c r="U241" i="6"/>
  <c r="T241" i="6" s="1"/>
  <c r="AH240" i="6"/>
  <c r="U240" i="6"/>
  <c r="T240" i="6" s="1"/>
  <c r="U239" i="6"/>
  <c r="T239" i="6" s="1"/>
  <c r="U238" i="6"/>
  <c r="T238" i="6" s="1"/>
  <c r="AH237" i="6"/>
  <c r="U237" i="6"/>
  <c r="T237" i="6" s="1"/>
  <c r="U236" i="6"/>
  <c r="T236" i="6"/>
  <c r="AH235" i="6"/>
  <c r="U235" i="6"/>
  <c r="T235" i="6" s="1"/>
  <c r="U234" i="6"/>
  <c r="T234" i="6"/>
  <c r="AH233" i="6"/>
  <c r="U233" i="6"/>
  <c r="T233" i="6" s="1"/>
  <c r="AH232" i="6"/>
  <c r="U232" i="6"/>
  <c r="U231" i="6"/>
  <c r="T231" i="6" s="1"/>
  <c r="V230" i="6"/>
  <c r="U230" i="6" s="1"/>
  <c r="T230" i="6" s="1"/>
  <c r="U229" i="6"/>
  <c r="T229" i="6" s="1"/>
  <c r="AI228" i="6"/>
  <c r="AH228" i="6" s="1"/>
  <c r="V228" i="6"/>
  <c r="U228" i="6" s="1"/>
  <c r="AH227" i="6"/>
  <c r="T227" i="6" s="1"/>
  <c r="U227" i="6"/>
  <c r="V226" i="6"/>
  <c r="U226" i="6" s="1"/>
  <c r="T226" i="6" s="1"/>
  <c r="AH225" i="6"/>
  <c r="U225" i="6"/>
  <c r="T225" i="6"/>
  <c r="AH224" i="6"/>
  <c r="U224" i="6"/>
  <c r="T224" i="6" s="1"/>
  <c r="AI223" i="6"/>
  <c r="AH223" i="6"/>
  <c r="V223" i="6"/>
  <c r="U223" i="6" s="1"/>
  <c r="U222" i="6"/>
  <c r="T222" i="6" s="1"/>
  <c r="U221" i="6"/>
  <c r="T221" i="6" s="1"/>
  <c r="AI220" i="6"/>
  <c r="AH220" i="6" s="1"/>
  <c r="V220" i="6"/>
  <c r="U220" i="6" s="1"/>
  <c r="V219" i="6"/>
  <c r="U219" i="6" s="1"/>
  <c r="T219" i="6" s="1"/>
  <c r="V218" i="6"/>
  <c r="U218" i="6" s="1"/>
  <c r="T218" i="6" s="1"/>
  <c r="AI217" i="6"/>
  <c r="AH217" i="6" s="1"/>
  <c r="V217" i="6"/>
  <c r="U217" i="6" s="1"/>
  <c r="T217" i="6" s="1"/>
  <c r="AH216" i="6"/>
  <c r="U216" i="6"/>
  <c r="T216" i="6" s="1"/>
  <c r="AQ215" i="6"/>
  <c r="AH215" i="6" s="1"/>
  <c r="T215" i="6" s="1"/>
  <c r="V215" i="6"/>
  <c r="U215" i="6" s="1"/>
  <c r="AH214" i="6"/>
  <c r="U214" i="6"/>
  <c r="V213" i="6"/>
  <c r="U213" i="6" s="1"/>
  <c r="T213" i="6" s="1"/>
  <c r="X212" i="6"/>
  <c r="U212" i="6" s="1"/>
  <c r="T212" i="6" s="1"/>
  <c r="U211" i="6"/>
  <c r="T211" i="6" s="1"/>
  <c r="AH210" i="6"/>
  <c r="T210" i="6" s="1"/>
  <c r="U210" i="6"/>
  <c r="AI209" i="6"/>
  <c r="AH209" i="6" s="1"/>
  <c r="V209" i="6"/>
  <c r="U209" i="6" s="1"/>
  <c r="W208" i="6"/>
  <c r="U208" i="6" s="1"/>
  <c r="T208" i="6" s="1"/>
  <c r="AI207" i="6"/>
  <c r="AH207" i="6"/>
  <c r="V207" i="6"/>
  <c r="U207" i="6" s="1"/>
  <c r="AR206" i="6"/>
  <c r="AH206" i="6" s="1"/>
  <c r="V206" i="6"/>
  <c r="U206" i="6" s="1"/>
  <c r="U205" i="6"/>
  <c r="T205" i="6" s="1"/>
  <c r="AH204" i="6"/>
  <c r="V204" i="6"/>
  <c r="U204" i="6" s="1"/>
  <c r="T204" i="6" s="1"/>
  <c r="AH203" i="6"/>
  <c r="U203" i="6"/>
  <c r="T203" i="6" s="1"/>
  <c r="AR202" i="6"/>
  <c r="AH202" i="6" s="1"/>
  <c r="AD202" i="6"/>
  <c r="U202" i="6" s="1"/>
  <c r="T202" i="6"/>
  <c r="AR201" i="6"/>
  <c r="AH201" i="6" s="1"/>
  <c r="V201" i="6"/>
  <c r="U201" i="6" s="1"/>
  <c r="AH200" i="6"/>
  <c r="T200" i="6" s="1"/>
  <c r="U200" i="6"/>
  <c r="AH199" i="6"/>
  <c r="U199" i="6"/>
  <c r="V198" i="6"/>
  <c r="U198" i="6" s="1"/>
  <c r="T198" i="6"/>
  <c r="U197" i="6"/>
  <c r="T197" i="6"/>
  <c r="U196" i="6"/>
  <c r="T196" i="6" s="1"/>
  <c r="U195" i="6"/>
  <c r="T195" i="6" s="1"/>
  <c r="AH194" i="6"/>
  <c r="U194" i="6"/>
  <c r="V193" i="6"/>
  <c r="U193" i="6" s="1"/>
  <c r="T193" i="6" s="1"/>
  <c r="AK192" i="6"/>
  <c r="AI192" i="6"/>
  <c r="AH192" i="6" s="1"/>
  <c r="V192" i="6"/>
  <c r="U192" i="6" s="1"/>
  <c r="AH191" i="6"/>
  <c r="U191" i="6"/>
  <c r="U190" i="6"/>
  <c r="T190" i="6" s="1"/>
  <c r="AK189" i="6"/>
  <c r="AH189" i="6" s="1"/>
  <c r="U189" i="6"/>
  <c r="T189" i="6" s="1"/>
  <c r="AH188" i="6"/>
  <c r="U188" i="6"/>
  <c r="U187" i="6"/>
  <c r="T187" i="6" s="1"/>
  <c r="W186" i="6"/>
  <c r="U186" i="6"/>
  <c r="T186" i="6" s="1"/>
  <c r="AI185" i="6"/>
  <c r="AH185" i="6" s="1"/>
  <c r="U185" i="6"/>
  <c r="T185" i="6" s="1"/>
  <c r="U184" i="6"/>
  <c r="T184" i="6" s="1"/>
  <c r="U183" i="6"/>
  <c r="T183" i="6" s="1"/>
  <c r="AM182" i="6"/>
  <c r="AH182" i="6" s="1"/>
  <c r="W182" i="6"/>
  <c r="U182" i="6" s="1"/>
  <c r="AI181" i="6"/>
  <c r="AH181" i="6" s="1"/>
  <c r="V181" i="6"/>
  <c r="U181" i="6" s="1"/>
  <c r="T181" i="6" s="1"/>
  <c r="U180" i="6"/>
  <c r="T180" i="6" s="1"/>
  <c r="AH179" i="6"/>
  <c r="U179" i="6"/>
  <c r="T179" i="6"/>
  <c r="AH178" i="6"/>
  <c r="U178" i="6"/>
  <c r="T178" i="6" s="1"/>
  <c r="V177" i="6"/>
  <c r="U177" i="6" s="1"/>
  <c r="T177" i="6" s="1"/>
  <c r="AH176" i="6"/>
  <c r="T176" i="6" s="1"/>
  <c r="U176" i="6"/>
  <c r="AH175" i="6"/>
  <c r="U175" i="6"/>
  <c r="AI174" i="6"/>
  <c r="AH174" i="6"/>
  <c r="V174" i="6"/>
  <c r="U174" i="6" s="1"/>
  <c r="T174" i="6" s="1"/>
  <c r="AH173" i="6"/>
  <c r="U173" i="6"/>
  <c r="V172" i="6"/>
  <c r="U172" i="6"/>
  <c r="T172" i="6"/>
  <c r="U171" i="6"/>
  <c r="T171" i="6"/>
  <c r="U170" i="6"/>
  <c r="T170" i="6"/>
  <c r="U169" i="6"/>
  <c r="T169" i="6" s="1"/>
  <c r="AH168" i="6"/>
  <c r="U168" i="6"/>
  <c r="AH167" i="6"/>
  <c r="U167" i="6"/>
  <c r="U166" i="6"/>
  <c r="T166" i="6" s="1"/>
  <c r="AI165" i="6"/>
  <c r="AH165" i="6"/>
  <c r="V165" i="6"/>
  <c r="U165" i="6"/>
  <c r="AI164" i="6"/>
  <c r="AH164" i="6" s="1"/>
  <c r="V164" i="6"/>
  <c r="U164" i="6" s="1"/>
  <c r="AH163" i="6"/>
  <c r="U163" i="6"/>
  <c r="AH162" i="6"/>
  <c r="U162" i="6"/>
  <c r="AH161" i="6"/>
  <c r="T161" i="6" s="1"/>
  <c r="U161" i="6"/>
  <c r="AH160" i="6"/>
  <c r="U160" i="6"/>
  <c r="U159" i="6"/>
  <c r="T159" i="6" s="1"/>
  <c r="U158" i="6"/>
  <c r="T158" i="6"/>
  <c r="AK157" i="6"/>
  <c r="AH157" i="6"/>
  <c r="X157" i="6"/>
  <c r="U157" i="6"/>
  <c r="T157" i="6" s="1"/>
  <c r="U156" i="6"/>
  <c r="T156" i="6" s="1"/>
  <c r="AI155" i="6"/>
  <c r="AH155" i="6" s="1"/>
  <c r="V155" i="6"/>
  <c r="U155" i="6" s="1"/>
  <c r="AI154" i="6"/>
  <c r="AH154" i="6" s="1"/>
  <c r="V154" i="6"/>
  <c r="U154" i="6" s="1"/>
  <c r="T154" i="6" s="1"/>
  <c r="U153" i="6"/>
  <c r="T153" i="6" s="1"/>
  <c r="AK152" i="6"/>
  <c r="AH152" i="6" s="1"/>
  <c r="X152" i="6"/>
  <c r="U152" i="6"/>
  <c r="T152" i="6"/>
  <c r="AH151" i="6"/>
  <c r="U151" i="6"/>
  <c r="T151" i="6" s="1"/>
  <c r="AI150" i="6"/>
  <c r="AH150" i="6" s="1"/>
  <c r="V150" i="6"/>
  <c r="U150" i="6" s="1"/>
  <c r="AH149" i="6"/>
  <c r="U149" i="6"/>
  <c r="T149" i="6" s="1"/>
  <c r="AH148" i="6"/>
  <c r="T148" i="6" s="1"/>
  <c r="U148" i="6"/>
  <c r="AH147" i="6"/>
  <c r="U147" i="6"/>
  <c r="U146" i="6"/>
  <c r="T146" i="6" s="1"/>
  <c r="AI145" i="6"/>
  <c r="AH145" i="6" s="1"/>
  <c r="V145" i="6"/>
  <c r="U145" i="6"/>
  <c r="T145" i="6" s="1"/>
  <c r="X144" i="6"/>
  <c r="U144" i="6"/>
  <c r="T144" i="6"/>
  <c r="U143" i="6"/>
  <c r="T143" i="6" s="1"/>
  <c r="U142" i="6"/>
  <c r="T142" i="6"/>
  <c r="AI141" i="6"/>
  <c r="AH141" i="6" s="1"/>
  <c r="V141" i="6"/>
  <c r="U141" i="6" s="1"/>
  <c r="T141" i="6" s="1"/>
  <c r="U140" i="6"/>
  <c r="T140" i="6"/>
  <c r="U139" i="6"/>
  <c r="T139" i="6" s="1"/>
  <c r="AH138" i="6"/>
  <c r="U138" i="6"/>
  <c r="T138" i="6" s="1"/>
  <c r="AH137" i="6"/>
  <c r="U137" i="6"/>
  <c r="T137" i="6" s="1"/>
  <c r="AH136" i="6"/>
  <c r="U136" i="6"/>
  <c r="T136" i="6" s="1"/>
  <c r="AH135" i="6"/>
  <c r="U135" i="6"/>
  <c r="AQ134" i="6"/>
  <c r="AI134" i="6"/>
  <c r="AH134" i="6"/>
  <c r="T134" i="6" s="1"/>
  <c r="V134" i="6"/>
  <c r="U134" i="6" s="1"/>
  <c r="X133" i="6"/>
  <c r="U133" i="6" s="1"/>
  <c r="T133" i="6" s="1"/>
  <c r="Z132" i="6"/>
  <c r="U132" i="6"/>
  <c r="T132" i="6" s="1"/>
  <c r="U131" i="6"/>
  <c r="T131" i="6" s="1"/>
  <c r="AH130" i="6"/>
  <c r="U130" i="6"/>
  <c r="V129" i="6"/>
  <c r="U129" i="6" s="1"/>
  <c r="T129" i="6" s="1"/>
  <c r="AH128" i="6"/>
  <c r="U128" i="6"/>
  <c r="T128" i="6" s="1"/>
  <c r="AH127" i="6"/>
  <c r="T127" i="6" s="1"/>
  <c r="U127" i="6"/>
  <c r="U126" i="6"/>
  <c r="T126" i="6"/>
  <c r="W125" i="6"/>
  <c r="V125" i="6"/>
  <c r="U125" i="6" s="1"/>
  <c r="T125" i="6" s="1"/>
  <c r="AI124" i="6"/>
  <c r="AH124" i="6"/>
  <c r="V124" i="6"/>
  <c r="U124" i="6" s="1"/>
  <c r="AI123" i="6"/>
  <c r="AH123" i="6"/>
  <c r="T123" i="6" s="1"/>
  <c r="V123" i="6"/>
  <c r="U123" i="6" s="1"/>
  <c r="AD122" i="6"/>
  <c r="U122" i="6" s="1"/>
  <c r="T122" i="6" s="1"/>
  <c r="AH121" i="6"/>
  <c r="X121" i="6"/>
  <c r="U121" i="6" s="1"/>
  <c r="AI120" i="6"/>
  <c r="AH120" i="6" s="1"/>
  <c r="U120" i="6"/>
  <c r="AH119" i="6"/>
  <c r="U119" i="6"/>
  <c r="AH118" i="6"/>
  <c r="U118" i="6"/>
  <c r="T118" i="6"/>
  <c r="AH117" i="6"/>
  <c r="U117" i="6"/>
  <c r="T117" i="6" s="1"/>
  <c r="U116" i="6"/>
  <c r="T116" i="6" s="1"/>
  <c r="AI115" i="6"/>
  <c r="AH115" i="6"/>
  <c r="V115" i="6"/>
  <c r="U115" i="6" s="1"/>
  <c r="AH114" i="6"/>
  <c r="U114" i="6"/>
  <c r="T114" i="6" s="1"/>
  <c r="AI113" i="6"/>
  <c r="AH113" i="6"/>
  <c r="V113" i="6"/>
  <c r="U113" i="6" s="1"/>
  <c r="T113" i="6" s="1"/>
  <c r="U112" i="6"/>
  <c r="T112" i="6" s="1"/>
  <c r="AH111" i="6"/>
  <c r="U111" i="6"/>
  <c r="AH110" i="6"/>
  <c r="U110" i="6"/>
  <c r="AI109" i="6"/>
  <c r="AH109" i="6" s="1"/>
  <c r="T109" i="6" s="1"/>
  <c r="V109" i="6"/>
  <c r="U109" i="6" s="1"/>
  <c r="AK108" i="6"/>
  <c r="AH108" i="6" s="1"/>
  <c r="X108" i="6"/>
  <c r="U108" i="6" s="1"/>
  <c r="AH107" i="6"/>
  <c r="W107" i="6"/>
  <c r="U107" i="6" s="1"/>
  <c r="T107" i="6" s="1"/>
  <c r="AK106" i="6"/>
  <c r="AH106" i="6" s="1"/>
  <c r="X106" i="6"/>
  <c r="U106" i="6"/>
  <c r="T106" i="6" s="1"/>
  <c r="AI105" i="6"/>
  <c r="AH105" i="6"/>
  <c r="V105" i="6"/>
  <c r="U105" i="6" s="1"/>
  <c r="T105" i="6" s="1"/>
  <c r="U104" i="6"/>
  <c r="T104" i="6"/>
  <c r="U103" i="6"/>
  <c r="T103" i="6" s="1"/>
  <c r="AK102" i="6"/>
  <c r="AH102" i="6" s="1"/>
  <c r="T102" i="6" s="1"/>
  <c r="X102" i="6"/>
  <c r="U102" i="6" s="1"/>
  <c r="AK101" i="6"/>
  <c r="AH101" i="6" s="1"/>
  <c r="X101" i="6"/>
  <c r="U101" i="6"/>
  <c r="AK100" i="6"/>
  <c r="AH100" i="6" s="1"/>
  <c r="X100" i="6"/>
  <c r="U100" i="6" s="1"/>
  <c r="T100" i="6" s="1"/>
  <c r="AH99" i="6"/>
  <c r="U99" i="6"/>
  <c r="T99" i="6" s="1"/>
  <c r="V98" i="6"/>
  <c r="U98" i="6" s="1"/>
  <c r="T98" i="6" s="1"/>
  <c r="U97" i="6"/>
  <c r="T97" i="6"/>
  <c r="U96" i="6"/>
  <c r="T96" i="6" s="1"/>
  <c r="V95" i="6"/>
  <c r="U95" i="6"/>
  <c r="T95" i="6" s="1"/>
  <c r="AH94" i="6"/>
  <c r="AD94" i="6"/>
  <c r="U94" i="6" s="1"/>
  <c r="U93" i="6"/>
  <c r="T93" i="6" s="1"/>
  <c r="AP92" i="6"/>
  <c r="AH92" i="6" s="1"/>
  <c r="AI92" i="6"/>
  <c r="V92" i="6"/>
  <c r="U92" i="6" s="1"/>
  <c r="AI91" i="6"/>
  <c r="AH91" i="6" s="1"/>
  <c r="V91" i="6"/>
  <c r="U91" i="6" s="1"/>
  <c r="AI90" i="6"/>
  <c r="AH90" i="6"/>
  <c r="T90" i="6" s="1"/>
  <c r="V90" i="6"/>
  <c r="U90" i="6"/>
  <c r="AK89" i="6"/>
  <c r="AH89" i="6" s="1"/>
  <c r="X89" i="6"/>
  <c r="U89" i="6" s="1"/>
  <c r="T89" i="6" s="1"/>
  <c r="AK88" i="6"/>
  <c r="AI88" i="6"/>
  <c r="X88" i="6"/>
  <c r="U88" i="6" s="1"/>
  <c r="U87" i="6"/>
  <c r="T87" i="6" s="1"/>
  <c r="AI86" i="6"/>
  <c r="AH86" i="6"/>
  <c r="V86" i="6"/>
  <c r="U86" i="6" s="1"/>
  <c r="T86" i="6" s="1"/>
  <c r="U85" i="6"/>
  <c r="T85" i="6" s="1"/>
  <c r="AK84" i="6"/>
  <c r="AH84" i="6" s="1"/>
  <c r="X84" i="6"/>
  <c r="U84" i="6"/>
  <c r="T84" i="6" s="1"/>
  <c r="U83" i="6"/>
  <c r="T83" i="6"/>
  <c r="V82" i="6"/>
  <c r="U82" i="6"/>
  <c r="T82" i="6" s="1"/>
  <c r="AI81" i="6"/>
  <c r="AH81" i="6" s="1"/>
  <c r="T81" i="6" s="1"/>
  <c r="V81" i="6"/>
  <c r="U81" i="6" s="1"/>
  <c r="AH80" i="6"/>
  <c r="U80" i="6"/>
  <c r="AI79" i="6"/>
  <c r="AH79" i="6"/>
  <c r="U79" i="6"/>
  <c r="V78" i="6"/>
  <c r="U78" i="6" s="1"/>
  <c r="T78" i="6" s="1"/>
  <c r="AK77" i="6"/>
  <c r="AH77" i="6" s="1"/>
  <c r="X77" i="6"/>
  <c r="U77" i="6" s="1"/>
  <c r="T77" i="6" s="1"/>
  <c r="AK76" i="6"/>
  <c r="AH76" i="6" s="1"/>
  <c r="X76" i="6"/>
  <c r="U76" i="6" s="1"/>
  <c r="U75" i="6"/>
  <c r="T75" i="6" s="1"/>
  <c r="U74" i="6"/>
  <c r="T74" i="6" s="1"/>
  <c r="U73" i="6"/>
  <c r="T73" i="6" s="1"/>
  <c r="AK72" i="6"/>
  <c r="AH72" i="6" s="1"/>
  <c r="X72" i="6"/>
  <c r="U72" i="6" s="1"/>
  <c r="V71" i="6"/>
  <c r="U71" i="6"/>
  <c r="T71" i="6" s="1"/>
  <c r="U70" i="6"/>
  <c r="T70" i="6" s="1"/>
  <c r="AK69" i="6"/>
  <c r="AH69" i="6"/>
  <c r="X69" i="6"/>
  <c r="U69" i="6"/>
  <c r="T69" i="6"/>
  <c r="AL68" i="6"/>
  <c r="AH68" i="6" s="1"/>
  <c r="T68" i="6" s="1"/>
  <c r="U68" i="6"/>
  <c r="V67" i="6"/>
  <c r="U67" i="6" s="1"/>
  <c r="T67" i="6" s="1"/>
  <c r="V66" i="6"/>
  <c r="U66" i="6"/>
  <c r="T66" i="6" s="1"/>
  <c r="U65" i="6"/>
  <c r="T65" i="6" s="1"/>
  <c r="AR64" i="6"/>
  <c r="AH64" i="6" s="1"/>
  <c r="V64" i="6"/>
  <c r="U64" i="6"/>
  <c r="T64" i="6" s="1"/>
  <c r="U63" i="6"/>
  <c r="T63" i="6"/>
  <c r="AH62" i="6"/>
  <c r="U62" i="6"/>
  <c r="AH61" i="6"/>
  <c r="U61" i="6"/>
  <c r="T61" i="6"/>
  <c r="AI60" i="6"/>
  <c r="AH60" i="6" s="1"/>
  <c r="V60" i="6"/>
  <c r="U60" i="6" s="1"/>
  <c r="T60" i="6" s="1"/>
  <c r="V59" i="6"/>
  <c r="U59" i="6" s="1"/>
  <c r="T59" i="6" s="1"/>
  <c r="AH58" i="6"/>
  <c r="U58" i="6"/>
  <c r="T58" i="6" s="1"/>
  <c r="AI57" i="6"/>
  <c r="AH57" i="6" s="1"/>
  <c r="V57" i="6"/>
  <c r="U57" i="6" s="1"/>
  <c r="T57" i="6" s="1"/>
  <c r="U56" i="6"/>
  <c r="T56" i="6"/>
  <c r="AH55" i="6"/>
  <c r="U55" i="6"/>
  <c r="U54" i="6"/>
  <c r="T54" i="6"/>
  <c r="AI53" i="6"/>
  <c r="AH53" i="6" s="1"/>
  <c r="V53" i="6"/>
  <c r="U53" i="6" s="1"/>
  <c r="T53" i="6" s="1"/>
  <c r="AK52" i="6"/>
  <c r="AH52" i="6" s="1"/>
  <c r="U52" i="6"/>
  <c r="T52" i="6" s="1"/>
  <c r="AK51" i="6"/>
  <c r="AH51" i="6"/>
  <c r="X51" i="6"/>
  <c r="U51" i="6"/>
  <c r="AH50" i="6"/>
  <c r="T50" i="6" s="1"/>
  <c r="U50" i="6"/>
  <c r="AH49" i="6"/>
  <c r="U49" i="6"/>
  <c r="AH48" i="6"/>
  <c r="U48" i="6"/>
  <c r="T48" i="6" s="1"/>
  <c r="U47" i="6"/>
  <c r="T47" i="6" s="1"/>
  <c r="AI46" i="6"/>
  <c r="AH46" i="6" s="1"/>
  <c r="V46" i="6"/>
  <c r="U46" i="6" s="1"/>
  <c r="AM45" i="6"/>
  <c r="AK45" i="6"/>
  <c r="AJ45" i="6"/>
  <c r="AI45" i="6"/>
  <c r="AH45" i="6" s="1"/>
  <c r="AE45" i="6"/>
  <c r="U45" i="6" s="1"/>
  <c r="X44" i="6"/>
  <c r="U44" i="6" s="1"/>
  <c r="T44" i="6" s="1"/>
  <c r="U43" i="6"/>
  <c r="T43" i="6"/>
  <c r="AK42" i="6"/>
  <c r="AH42" i="6" s="1"/>
  <c r="T42" i="6" s="1"/>
  <c r="U42" i="6"/>
  <c r="AI41" i="6"/>
  <c r="AH41" i="6"/>
  <c r="V41" i="6"/>
  <c r="U41" i="6"/>
  <c r="AK40" i="6"/>
  <c r="AH40" i="6" s="1"/>
  <c r="X40" i="6"/>
  <c r="U40" i="6" s="1"/>
  <c r="T40" i="6" s="1"/>
  <c r="U39" i="6"/>
  <c r="T39" i="6"/>
  <c r="AH38" i="6"/>
  <c r="U38" i="6"/>
  <c r="AI37" i="6"/>
  <c r="AH37" i="6" s="1"/>
  <c r="V37" i="6"/>
  <c r="U37" i="6" s="1"/>
  <c r="AI36" i="6"/>
  <c r="AH36" i="6" s="1"/>
  <c r="V36" i="6"/>
  <c r="U36" i="6" s="1"/>
  <c r="AT35" i="6"/>
  <c r="AJ35" i="6"/>
  <c r="AI35" i="6"/>
  <c r="AH35" i="6"/>
  <c r="W35" i="6"/>
  <c r="U35" i="6" s="1"/>
  <c r="AI34" i="6"/>
  <c r="AH34" i="6" s="1"/>
  <c r="T34" i="6" s="1"/>
  <c r="U34" i="6"/>
  <c r="U33" i="6"/>
  <c r="T33" i="6"/>
  <c r="AK32" i="6"/>
  <c r="AH32" i="6" s="1"/>
  <c r="X32" i="6"/>
  <c r="U32" i="6" s="1"/>
  <c r="T32" i="6" s="1"/>
  <c r="AH31" i="6"/>
  <c r="U31" i="6"/>
  <c r="T31" i="6" s="1"/>
  <c r="AK30" i="6"/>
  <c r="AH30" i="6" s="1"/>
  <c r="X30" i="6"/>
  <c r="U30" i="6"/>
  <c r="AH29" i="6"/>
  <c r="U29" i="6"/>
  <c r="U28" i="6"/>
  <c r="T28" i="6"/>
  <c r="AI27" i="6"/>
  <c r="AH27" i="6" s="1"/>
  <c r="V27" i="6"/>
  <c r="U27" i="6"/>
  <c r="AK26" i="6"/>
  <c r="AH26" i="6"/>
  <c r="X26" i="6"/>
  <c r="U26" i="6" s="1"/>
  <c r="T26" i="6" s="1"/>
  <c r="U25" i="6"/>
  <c r="T25" i="6" s="1"/>
  <c r="AR24" i="6"/>
  <c r="AH24" i="6" s="1"/>
  <c r="V24" i="6"/>
  <c r="U24" i="6" s="1"/>
  <c r="U23" i="6"/>
  <c r="T23" i="6" s="1"/>
  <c r="AH22" i="6"/>
  <c r="U22" i="6"/>
  <c r="T22" i="6" s="1"/>
  <c r="AI21" i="6"/>
  <c r="AH21" i="6" s="1"/>
  <c r="U21" i="6"/>
  <c r="AR20" i="6"/>
  <c r="AH20" i="6" s="1"/>
  <c r="V20" i="6"/>
  <c r="U20" i="6" s="1"/>
  <c r="T20" i="6" s="1"/>
  <c r="V19" i="6"/>
  <c r="U19" i="6"/>
  <c r="T19" i="6" s="1"/>
  <c r="AT18" i="6"/>
  <c r="AI18" i="6"/>
  <c r="AH18" i="6" s="1"/>
  <c r="AG18" i="6"/>
  <c r="U18" i="6" s="1"/>
  <c r="AJ17" i="6"/>
  <c r="AH17" i="6" s="1"/>
  <c r="W17" i="6"/>
  <c r="U17" i="6" s="1"/>
  <c r="V16" i="6"/>
  <c r="U16" i="6"/>
  <c r="T16" i="6"/>
  <c r="U15" i="6"/>
  <c r="T15" i="6" s="1"/>
  <c r="AK14" i="6"/>
  <c r="AH14" i="6" s="1"/>
  <c r="X14" i="6"/>
  <c r="U14" i="6" s="1"/>
  <c r="AH13" i="6"/>
  <c r="U13" i="6"/>
  <c r="U12" i="6"/>
  <c r="T12" i="6"/>
  <c r="U11" i="6"/>
  <c r="T11" i="6" s="1"/>
  <c r="U10" i="6"/>
  <c r="T10" i="6" s="1"/>
  <c r="Z9" i="6"/>
  <c r="U9" i="6" s="1"/>
  <c r="T9" i="6" s="1"/>
  <c r="U8" i="6"/>
  <c r="T8" i="6"/>
  <c r="U7" i="6"/>
  <c r="T7" i="6" s="1"/>
  <c r="AI6" i="6"/>
  <c r="AH6" i="6"/>
  <c r="U6" i="6"/>
  <c r="T6" i="6" s="1"/>
  <c r="AH5" i="6"/>
  <c r="U5" i="6"/>
  <c r="T5" i="6" s="1"/>
  <c r="V4" i="6"/>
  <c r="U4" i="6"/>
  <c r="T4" i="6" s="1"/>
  <c r="U3" i="6"/>
  <c r="T3" i="6" s="1"/>
  <c r="AH2" i="6"/>
  <c r="Z2" i="6"/>
  <c r="U2" i="6" s="1"/>
  <c r="T2" i="6" s="1"/>
  <c r="T35" i="6" l="1"/>
  <c r="T402" i="6"/>
  <c r="T41" i="6"/>
  <c r="T72" i="6"/>
  <c r="T76" i="6"/>
  <c r="T486" i="6"/>
  <c r="T493" i="6"/>
  <c r="T13" i="6"/>
  <c r="T49" i="6"/>
  <c r="T110" i="6"/>
  <c r="T121" i="6"/>
  <c r="T397" i="6"/>
  <c r="T489" i="6"/>
  <c r="T500" i="6"/>
  <c r="T598" i="6"/>
  <c r="T677" i="6"/>
  <c r="AH692" i="6"/>
  <c r="T692" i="6" s="1"/>
  <c r="T92" i="6"/>
  <c r="T24" i="6"/>
  <c r="T14" i="6"/>
  <c r="T45" i="6"/>
  <c r="T164" i="6"/>
  <c r="T192" i="6"/>
  <c r="T422" i="6"/>
  <c r="T457" i="6"/>
  <c r="T531" i="6"/>
  <c r="T578" i="6"/>
  <c r="T108" i="6"/>
  <c r="T37" i="6"/>
  <c r="T27" i="6"/>
  <c r="T21" i="6"/>
  <c r="AH88" i="6"/>
  <c r="T88" i="6" s="1"/>
  <c r="T91" i="6"/>
  <c r="T101" i="6"/>
  <c r="T111" i="6"/>
  <c r="T115" i="6"/>
  <c r="T168" i="6"/>
  <c r="T280" i="6"/>
  <c r="T375" i="6"/>
  <c r="T473" i="6"/>
  <c r="T490" i="6"/>
  <c r="T501" i="6"/>
  <c r="T545" i="6"/>
  <c r="T586" i="6"/>
  <c r="T18" i="6"/>
  <c r="T51" i="6"/>
  <c r="T147" i="6"/>
  <c r="T352" i="6"/>
  <c r="AH372" i="6"/>
  <c r="T398" i="6"/>
  <c r="T405" i="6"/>
  <c r="T469" i="6"/>
  <c r="T502" i="6"/>
  <c r="T570" i="6"/>
  <c r="T627" i="6"/>
  <c r="AH587" i="6"/>
  <c r="T587" i="6" s="1"/>
  <c r="T29" i="6"/>
  <c r="T38" i="6"/>
  <c r="T119" i="6"/>
  <c r="T130" i="6"/>
  <c r="T162" i="6"/>
  <c r="T173" i="6"/>
  <c r="T188" i="6"/>
  <c r="T263" i="6"/>
  <c r="AH266" i="6"/>
  <c r="U310" i="6"/>
  <c r="T315" i="6"/>
  <c r="T349" i="6"/>
  <c r="T353" i="6"/>
  <c r="T379" i="6"/>
  <c r="T400" i="6"/>
  <c r="T450" i="6"/>
  <c r="T487" i="6"/>
  <c r="T564" i="6"/>
  <c r="T582" i="6"/>
  <c r="AH592" i="6"/>
  <c r="T592" i="6" s="1"/>
  <c r="T599" i="6"/>
  <c r="T608" i="6"/>
  <c r="AH618" i="6"/>
  <c r="T618" i="6" s="1"/>
  <c r="T628" i="6"/>
  <c r="T653" i="6"/>
  <c r="T155" i="6"/>
  <c r="T194" i="6"/>
  <c r="T214" i="6"/>
  <c r="T232" i="6"/>
  <c r="T245" i="6"/>
  <c r="T339" i="6"/>
  <c r="T354" i="6"/>
  <c r="T419" i="6"/>
  <c r="T462" i="6"/>
  <c r="T467" i="6"/>
  <c r="T478" i="6"/>
  <c r="T600" i="6"/>
  <c r="T633" i="6"/>
  <c r="T659" i="6"/>
  <c r="T279" i="6"/>
  <c r="T283" i="6"/>
  <c r="T351" i="6"/>
  <c r="T360" i="6"/>
  <c r="T413" i="6"/>
  <c r="T515" i="6"/>
  <c r="T666" i="6"/>
  <c r="T689" i="6"/>
  <c r="T135" i="6"/>
  <c r="T150" i="6"/>
  <c r="T160" i="6"/>
  <c r="T167" i="6"/>
  <c r="T182" i="6"/>
  <c r="T191" i="6"/>
  <c r="T199" i="6"/>
  <c r="T223" i="6"/>
  <c r="T298" i="6"/>
  <c r="T321" i="6"/>
  <c r="AH329" i="6"/>
  <c r="T329" i="6" s="1"/>
  <c r="T355" i="6"/>
  <c r="T409" i="6"/>
  <c r="T480" i="6"/>
  <c r="AH488" i="6"/>
  <c r="T497" i="6"/>
  <c r="T511" i="6"/>
  <c r="AH552" i="6"/>
  <c r="T574" i="6"/>
  <c r="T634" i="6"/>
  <c r="T17" i="6"/>
  <c r="T36" i="6"/>
  <c r="T266" i="6"/>
  <c r="T94" i="6"/>
  <c r="T120" i="6"/>
  <c r="T165" i="6"/>
  <c r="T206" i="6"/>
  <c r="T209" i="6"/>
  <c r="T312" i="6"/>
  <c r="T55" i="6"/>
  <c r="T80" i="6"/>
  <c r="T163" i="6"/>
  <c r="T175" i="6"/>
  <c r="T220" i="6"/>
  <c r="T269" i="6"/>
  <c r="T273" i="6"/>
  <c r="T503" i="6"/>
  <c r="T646" i="6"/>
  <c r="T30" i="6"/>
  <c r="T46" i="6"/>
  <c r="T124" i="6"/>
  <c r="T325" i="6"/>
  <c r="T373" i="6"/>
  <c r="T488" i="6"/>
  <c r="T310" i="6"/>
  <c r="T201" i="6"/>
  <c r="T257" i="6"/>
  <c r="T275" i="6"/>
  <c r="T304" i="6"/>
  <c r="T387" i="6"/>
  <c r="T62" i="6"/>
  <c r="T79" i="6"/>
  <c r="T347" i="6"/>
  <c r="T606" i="6"/>
  <c r="T648" i="6"/>
  <c r="T326" i="6"/>
  <c r="T371" i="6"/>
  <c r="T434" i="6"/>
  <c r="T439" i="6"/>
  <c r="T483" i="6"/>
  <c r="T516" i="6"/>
  <c r="T547" i="6"/>
  <c r="T372" i="6"/>
  <c r="T374" i="6"/>
  <c r="T207" i="6"/>
  <c r="T228" i="6"/>
  <c r="T253" i="6"/>
  <c r="T288" i="6"/>
  <c r="T302" i="6"/>
  <c r="AH342" i="6"/>
  <c r="T342" i="6" s="1"/>
  <c r="T364" i="6"/>
  <c r="T384" i="6"/>
  <c r="T412" i="6"/>
  <c r="T427" i="6"/>
  <c r="T455" i="6"/>
  <c r="T509" i="6"/>
  <c r="T423" i="6"/>
  <c r="T452" i="6"/>
  <c r="T459" i="6"/>
  <c r="T477" i="6"/>
  <c r="T529" i="6"/>
  <c r="T558" i="6"/>
  <c r="T591" i="6"/>
  <c r="T626" i="6"/>
  <c r="T392" i="6"/>
  <c r="T438" i="6"/>
  <c r="U552" i="6"/>
  <c r="T552" i="6" s="1"/>
  <c r="T465" i="6"/>
  <c r="T617" i="6"/>
  <c r="T643" i="6"/>
  <c r="T474" i="6"/>
  <c r="T575" i="6"/>
  <c r="T615" i="6"/>
</calcChain>
</file>

<file path=xl/sharedStrings.xml><?xml version="1.0" encoding="utf-8"?>
<sst xmlns="http://schemas.openxmlformats.org/spreadsheetml/2006/main" count="27173" uniqueCount="10966">
  <si>
    <t>Journal</t>
  </si>
  <si>
    <t>Study</t>
  </si>
  <si>
    <t>Initial Sample Size</t>
  </si>
  <si>
    <t>Replication Sample Size</t>
  </si>
  <si>
    <t>Platform [SNPs passing QC]</t>
  </si>
  <si>
    <t>1st_author</t>
  </si>
  <si>
    <t>PubmedID</t>
  </si>
  <si>
    <t>DatePub</t>
  </si>
  <si>
    <t>Ozaki</t>
  </si>
  <si>
    <t>Myocardial infarction</t>
  </si>
  <si>
    <t>n</t>
  </si>
  <si>
    <t>y</t>
  </si>
  <si>
    <t>Obara</t>
  </si>
  <si>
    <t>Renal</t>
  </si>
  <si>
    <t>Klein</t>
  </si>
  <si>
    <t>Age-related macular degeneration</t>
  </si>
  <si>
    <t>Am J Hum Genet</t>
  </si>
  <si>
    <t>High-resolution whole-genome association study of Parkinson disease.</t>
  </si>
  <si>
    <t>Maraganore</t>
  </si>
  <si>
    <t>Parkinson's disease</t>
  </si>
  <si>
    <t>Yamazaki</t>
  </si>
  <si>
    <t>Crohn's disease</t>
  </si>
  <si>
    <t>Inflammation;Gastrointestinal;Crohn's disease</t>
  </si>
  <si>
    <t>Spinola</t>
  </si>
  <si>
    <t>Lung cancer, smokers with versus smokers without</t>
  </si>
  <si>
    <t>Science</t>
  </si>
  <si>
    <t>A common genetic variant is associated with adult and childhood obesity.</t>
  </si>
  <si>
    <t>Herbert</t>
  </si>
  <si>
    <t>Nat Genet</t>
  </si>
  <si>
    <t>A common genetic variant in the NOS1 regulator NOS1AP modulates cardiac repolarization.</t>
  </si>
  <si>
    <t>Arking</t>
  </si>
  <si>
    <t>Lancet Neurol</t>
  </si>
  <si>
    <t>Genome-wide genotyping in Parkinson's disease and neurologically normal controls: first stage analysis and public release of data.</t>
  </si>
  <si>
    <t>NR</t>
  </si>
  <si>
    <t>Fung</t>
  </si>
  <si>
    <t>HTRA1 promoter polymorphism in wet age-related macular degeneration.</t>
  </si>
  <si>
    <t>96 Southeast Asian cases,130 Southeast Asian controls</t>
  </si>
  <si>
    <t>DeWan</t>
  </si>
  <si>
    <t>Common Kibra alleles are associated with human memory performance.</t>
  </si>
  <si>
    <t>Papassotiropoulos</t>
  </si>
  <si>
    <t>Neuro;Cognition</t>
  </si>
  <si>
    <t>A genome-wide association study identifies IL23R as an inflammatory bowel disease gene.</t>
  </si>
  <si>
    <t>Duerr</t>
  </si>
  <si>
    <t>Am J Med Genet B Neuropsychiatr Genet</t>
  </si>
  <si>
    <t>Addiction molecular genetics: 639,401 SNP whole genome association identifies many "cell adhesion" genes.</t>
  </si>
  <si>
    <t>Liu</t>
  </si>
  <si>
    <t>Polysubstance addiction</t>
  </si>
  <si>
    <t>Steer</t>
  </si>
  <si>
    <t>Rheumatoid arthritis</t>
  </si>
  <si>
    <t>Kubo</t>
  </si>
  <si>
    <t>Stroke</t>
  </si>
  <si>
    <t>Cancer Lett</t>
  </si>
  <si>
    <t>Genome-wide single nucleotide polymorphism analysis of lung cancer risk detects the KLF6 gene.</t>
  </si>
  <si>
    <t>338 Italian lung adenocarcinoma cases,335 Italian controls</t>
  </si>
  <si>
    <t>Lung cancer</t>
  </si>
  <si>
    <t>Genome-wide genotyping in amyotrophic lateral sclerosis and neurologically normal controls: first stage analysis and public release of data.</t>
  </si>
  <si>
    <t>Schymick</t>
  </si>
  <si>
    <t>Amyotrophic Lateral Sclerosis (ALS)</t>
  </si>
  <si>
    <t>Nature</t>
  </si>
  <si>
    <t>A genome-wide association study identifies novel risk loci for type 2 diabetes.</t>
  </si>
  <si>
    <t>Sladek</t>
  </si>
  <si>
    <t>Type II Diabetes Mellitus</t>
  </si>
  <si>
    <t>A genome-wide genotyping study in patients with ischaemic stroke: initial analysis and data release.</t>
  </si>
  <si>
    <t>Matarin</t>
  </si>
  <si>
    <t>Stroke, ischemic</t>
  </si>
  <si>
    <t>PLoS Genet</t>
  </si>
  <si>
    <t>Novel Crohn disease locus identified by genome-wide association maps to a gene desert on 5p13.1 and modulates expression of PTGER4.</t>
  </si>
  <si>
    <t>Libioulle</t>
  </si>
  <si>
    <t>Identification of a novel risk locus for progressive supranuclear palsy by a pooled genomewide scan of 500,288 single-nucleotide polymorphisms.</t>
  </si>
  <si>
    <t>Melquist</t>
  </si>
  <si>
    <t>Neuro</t>
  </si>
  <si>
    <t>Mol Psychiatry</t>
  </si>
  <si>
    <t>Converging evidence for a pseudoautosomal cytokine receptor gene locus in schizophrenia.</t>
  </si>
  <si>
    <t>Lencz</t>
  </si>
  <si>
    <t>Schizophrenia</t>
  </si>
  <si>
    <t>Genome-wide association study of prostate cancer identifies a second risk locus at 8q24.</t>
  </si>
  <si>
    <t>Yeager</t>
  </si>
  <si>
    <t>Prostate cancer</t>
  </si>
  <si>
    <t>Gudmundsson J</t>
  </si>
  <si>
    <t>Genome-wide association study identifies a second prostate cancer susceptibility variant at 8q24.</t>
  </si>
  <si>
    <t>Gudmundsson</t>
  </si>
  <si>
    <t>Uhl GR</t>
  </si>
  <si>
    <t>BMC Genet</t>
  </si>
  <si>
    <t>Molecular genetics of nicotine dependence and abstinence: whole genome association using 520,000 SNPs.</t>
  </si>
  <si>
    <t>Uhl</t>
  </si>
  <si>
    <t>Nicotine dependence</t>
  </si>
  <si>
    <t>J Clin Psychiatry</t>
  </si>
  <si>
    <t>A high-density whole-genome association study reveals that APOE is the major susceptibility gene for sporadic late-onset Alzheimer's disease.</t>
  </si>
  <si>
    <t>Coon</t>
  </si>
  <si>
    <t>Alzheimer's disease</t>
  </si>
  <si>
    <t>Diabetes</t>
  </si>
  <si>
    <t>Identification of PVT1 as a candidate gene for end-stage renal disease in type 2 diabetes using a pooling-based genome-wide single nucleotide polymorphism association study.</t>
  </si>
  <si>
    <t>Hanson</t>
  </si>
  <si>
    <t>Genome-wide association study identifies new susceptibility loci for Crohn disease and implicates autophagy in disease pathogenesis.</t>
  </si>
  <si>
    <t>Rioux</t>
  </si>
  <si>
    <t>A variant in CDKAL1 influences insulin response and risk of type 2 diabetes.</t>
  </si>
  <si>
    <t>Steinthorsdottir</t>
  </si>
  <si>
    <t>Scott LJ</t>
  </si>
  <si>
    <t>A genome-wide association study of type 2 diabetes in Finns detects multiple susceptibility variants.</t>
  </si>
  <si>
    <t>Scott</t>
  </si>
  <si>
    <t>Zeggini E</t>
  </si>
  <si>
    <t>Replication of genome-wide association signals in UK samples reveals risk loci for type 2 diabetes.</t>
  </si>
  <si>
    <t>Zeggini</t>
  </si>
  <si>
    <t>Hum Mol Genet</t>
  </si>
  <si>
    <t>Calmodulin-binding transcription activator 1 (CAMTA1) alleles predispose human episodic memory performance.</t>
  </si>
  <si>
    <t>Huentelman</t>
  </si>
  <si>
    <t>A common allele on chromosome 9 associated with coronary heart disease.</t>
  </si>
  <si>
    <t>McPherson</t>
  </si>
  <si>
    <t>A common variant on chromosome 9p21 affects the risk of myocardial infarction.</t>
  </si>
  <si>
    <t>Helgadottir</t>
  </si>
  <si>
    <t>A genome-wide association study implicates diacylglycerol kinase eta (DGKH) and several other genes in the etiology of bipolar disorder.</t>
  </si>
  <si>
    <t>Baum</t>
  </si>
  <si>
    <t>Bipolar disorder</t>
  </si>
  <si>
    <t>Pharmacogenomics J</t>
  </si>
  <si>
    <t>Genome-wide pharmacogenetic investigation of a hepatic adverse event without clinical signs of immunopathology suggests an underlying immune pathogenesis.</t>
  </si>
  <si>
    <t>Kindmark</t>
  </si>
  <si>
    <t>Hepatic adverse events with thrombin inhibitor ximelagatran</t>
  </si>
  <si>
    <t>Common variants on chromosomes 2q35 and 16q12 confer susceptibility to estrogen receptor-positive breast cancer.</t>
  </si>
  <si>
    <t>Stacey</t>
  </si>
  <si>
    <t>Breast cancer</t>
  </si>
  <si>
    <t>Genome-wide association study identifies novel breast cancer susceptibility loci.</t>
  </si>
  <si>
    <t>Easton</t>
  </si>
  <si>
    <t>A genome-wide association study identifies alleles in FGFR2 associated with risk of sporadic postmenopausal breast cancer.</t>
  </si>
  <si>
    <t>Hunter</t>
  </si>
  <si>
    <t xml:space="preserve">Breast cancer, sporadic post-menopausal </t>
  </si>
  <si>
    <t>Neuron</t>
  </si>
  <si>
    <t>GAB2 alleles modify Alzheimer's risk in APOE epsilon4 carriers.</t>
  </si>
  <si>
    <t>Reiman</t>
  </si>
  <si>
    <t>Alzheimer's disease, late onset</t>
  </si>
  <si>
    <t>WTCCC</t>
  </si>
  <si>
    <t>Genome-wide association study of 14,000 cases of seven common diseases and 3,000 shared controls.</t>
  </si>
  <si>
    <t>A genome-wide association study for celiac disease identifies risk variants in the region harboring IL2 and IL21.</t>
  </si>
  <si>
    <t>van Heel</t>
  </si>
  <si>
    <t>Celiac disease</t>
  </si>
  <si>
    <t>Inflammation;Gastrointestinal;Celiac disease</t>
  </si>
  <si>
    <t>Capon</t>
  </si>
  <si>
    <t>Psoriasis</t>
  </si>
  <si>
    <t>Skin-related</t>
  </si>
  <si>
    <t>Type 2 diabetes whole-genome association study in four populations: the DiaGen consortium.</t>
  </si>
  <si>
    <t>Salonen</t>
  </si>
  <si>
    <t>Two variants on chromosome 17 confer prostate cancer risk, and the one in TCF2 protects against type 2 diabetes.</t>
  </si>
  <si>
    <t>Genetic variants regulating ORMDL3 expression contribute to the risk of childhood asthma.</t>
  </si>
  <si>
    <t>Moffat</t>
  </si>
  <si>
    <t>Genome-wide association scan identifies a colorectal cancer susceptibility locus on chromosome 8q24.</t>
  </si>
  <si>
    <t>Zanke</t>
  </si>
  <si>
    <t>Colorectal cancer</t>
  </si>
  <si>
    <t>Cancer;Colorectal cancer</t>
  </si>
  <si>
    <t>A genome-wide association scan of tag SNPs identifies a susceptibility variant for colorectal cancer at 8q24.21.</t>
  </si>
  <si>
    <t>Tomlinson</t>
  </si>
  <si>
    <t>A genome-wide association scan identifies the hepatic cholesterol transporter ABCG8 as a susceptibility factor for human gallstone disease.</t>
  </si>
  <si>
    <t>Buch</t>
  </si>
  <si>
    <t>Gallstone disease</t>
  </si>
  <si>
    <t>Gastrointestinal</t>
  </si>
  <si>
    <t>A genome-wide association study identifies KIAA0350 as a type 1 diabetes gene.</t>
  </si>
  <si>
    <t>Hakonarson</t>
  </si>
  <si>
    <t>Type I Diabetes</t>
  </si>
  <si>
    <t>Stefansson H</t>
  </si>
  <si>
    <t>N Engl J Med</t>
  </si>
  <si>
    <t>A genetic risk factor for periodic limb movements in sleep.</t>
  </si>
  <si>
    <t>Stefansson</t>
  </si>
  <si>
    <t>Neuro;Behavioral;Movement-related;Sleep</t>
  </si>
  <si>
    <t>Genome-wide association study of restless legs syndrome identifies common variants in three genomic regions.</t>
  </si>
  <si>
    <t>Winkelmann</t>
  </si>
  <si>
    <t>Genomewide association analysis of coronary artery disease.</t>
  </si>
  <si>
    <t>Samani</t>
  </si>
  <si>
    <t>Coronary artery disease</t>
  </si>
  <si>
    <t>Gudbjartsson DF</t>
  </si>
  <si>
    <t>Variants conferring risk of atrial fibrillation on chromosome 4q25.</t>
  </si>
  <si>
    <t>Gudbjartsson</t>
  </si>
  <si>
    <t>Atrial fibrillation, atrial flutter</t>
  </si>
  <si>
    <t>Genome-wide association scan shows genetic variants in the FTO gene are associated with obesity-related traits.</t>
  </si>
  <si>
    <t>Scuteri</t>
  </si>
  <si>
    <t>Obesity-related traits</t>
  </si>
  <si>
    <t>Risk alleles for multiple sclerosis identified by a genomewide study.</t>
  </si>
  <si>
    <t>International MS Genetics Consortium</t>
  </si>
  <si>
    <t>Multiple sclerosis</t>
  </si>
  <si>
    <t>A whole genome association study of neuroticism using DNA pooling.</t>
  </si>
  <si>
    <t>Shifman</t>
  </si>
  <si>
    <t>Neuroticism</t>
  </si>
  <si>
    <t>Neuro;Behavioral</t>
  </si>
  <si>
    <t>Franke A</t>
  </si>
  <si>
    <t>PLoS One</t>
  </si>
  <si>
    <t>Systematic association mapping identifies NELL1 as a novel IBD disease gene.</t>
  </si>
  <si>
    <t>Franke</t>
  </si>
  <si>
    <t>Thorleifsson G</t>
  </si>
  <si>
    <t>Common sequence variants in the LOXL1 gene confer susceptibility to exfoliation glaucoma.</t>
  </si>
  <si>
    <t>Thorleifsson</t>
  </si>
  <si>
    <t>Glaucoma</t>
  </si>
  <si>
    <t>Eye-related</t>
  </si>
  <si>
    <t>A whole-genome association study of major determinants for host control of HIV-1.</t>
  </si>
  <si>
    <t>Fellay</t>
  </si>
  <si>
    <t>Whole-genome analysis of sporadic amyotrophic lateral sclerosis.</t>
  </si>
  <si>
    <t>Dunckley</t>
  </si>
  <si>
    <t>Amyotrophic Lateral Sclerosis (ALS), sporadic</t>
  </si>
  <si>
    <t>Weedon MN</t>
  </si>
  <si>
    <t>A common variant of HMGA2 is associated with adult and childhood height in the general population.</t>
  </si>
  <si>
    <t>Weedon</t>
  </si>
  <si>
    <t>Height</t>
  </si>
  <si>
    <t>A QTL influencing F cell production maps to a gene encoding a zinc-finger protein on chromosome 2p15.</t>
  </si>
  <si>
    <t>Menzel</t>
  </si>
  <si>
    <t>TRAF1-C5 as a risk locus for rheumatoid arthritis--a genomewide study.</t>
  </si>
  <si>
    <t>Plenge</t>
  </si>
  <si>
    <t>ITPR2 as a susceptibility gene in sporadic amyotrophic lateral sclerosis: a genome-wide association study.</t>
  </si>
  <si>
    <t>van Es</t>
  </si>
  <si>
    <t>A search for variants associated with young-onset type 2 diabetes in American Indians in a 100K genotyping array.</t>
  </si>
  <si>
    <t>Identification of type 2 diabetes genes in Mexican Americans through genome-wide association studies.</t>
  </si>
  <si>
    <t>281 Mexican American cases,280 Mexican American controls</t>
  </si>
  <si>
    <t>Hayes</t>
  </si>
  <si>
    <t>Identification of novel candidate genes for type 2 diabetes from a genome-wide association scan in the Old Order Amish: evidence for replication from diabetes-related quantitative traits and from independent populations.</t>
  </si>
  <si>
    <t>Rampersaud</t>
  </si>
  <si>
    <t>Proc Natl Acad Sci U S A</t>
  </si>
  <si>
    <t>Genome-wide association study for Crohn's disease in the Quebec Founder Population identifies multiple validated disease loci.</t>
  </si>
  <si>
    <t>Raelson</t>
  </si>
  <si>
    <t>A 100K genome-wide association scan for diabetes and related traits in the Framingham Heart Study: replication and integration with other genome-wide datasets.</t>
  </si>
  <si>
    <t>Florez</t>
  </si>
  <si>
    <t>Ann N Y Acad Sci</t>
  </si>
  <si>
    <t>A genome-wide study of lupus: preliminary analysis and data release.</t>
  </si>
  <si>
    <t>Cervino</t>
  </si>
  <si>
    <t>Systemic lupus erythematosus</t>
  </si>
  <si>
    <t>Dixon</t>
  </si>
  <si>
    <t>BMC Med Genet</t>
  </si>
  <si>
    <t>A genome-wide association for kidney function and endocrine-related traits in the NHLBI's Framingham Heart Study.</t>
  </si>
  <si>
    <t>Hwang</t>
  </si>
  <si>
    <t>Benjamin EJ</t>
  </si>
  <si>
    <t>Genome-wide association with select biomarker traits in the Framingham Heart Study.</t>
  </si>
  <si>
    <t>Benjamin</t>
  </si>
  <si>
    <t>Genome-wide association and linkage analyses of hemostatic factors and hematological phenotypes in the Framingham Heart Study.</t>
  </si>
  <si>
    <t>Yang</t>
  </si>
  <si>
    <t>Genetic correlates of longevity and selected age-related phenotypes: a genome-wide association study in the Framingham Study.</t>
  </si>
  <si>
    <t>Lunetta</t>
  </si>
  <si>
    <t>Genome-wide association with bone mass and geometry in the Framingham Heart Study.</t>
  </si>
  <si>
    <t>Kiel</t>
  </si>
  <si>
    <t>Bone mass and geometry</t>
  </si>
  <si>
    <t>Genetic correlates of brain aging on MRI and cognitive test measures: a genome-wide association and linkage analysis in the Framingham Study.</t>
  </si>
  <si>
    <t>Seshadri</t>
  </si>
  <si>
    <t>Brain aging, MRI and cognition phenotypes</t>
  </si>
  <si>
    <t>Neuro;Cognition;Aging</t>
  </si>
  <si>
    <t>Genome-wide association with diabetes-related traits in the Framingham Heart Study.</t>
  </si>
  <si>
    <t>Meigs</t>
  </si>
  <si>
    <t>Kathiresan S</t>
  </si>
  <si>
    <t>A genome-wide association study for blood lipid phenotypes in the Framingham Heart Study.</t>
  </si>
  <si>
    <t>Kathiresan</t>
  </si>
  <si>
    <t>Lipid level measurements</t>
  </si>
  <si>
    <t>Genome-wide association to body mass index and waist circumference: the Framingham Heart Study 100K project.</t>
  </si>
  <si>
    <t>Fox</t>
  </si>
  <si>
    <t>Vasan RS</t>
  </si>
  <si>
    <t>Genome-wide association of echocardiographic dimensions, brachial artery endothelial function and treadmill exercise responses in the Framingham Heart Study.</t>
  </si>
  <si>
    <t>Vasan</t>
  </si>
  <si>
    <t>ECG dimensions, brachial artery endothelial function, treadmill exercise responses</t>
  </si>
  <si>
    <t>Levy D</t>
  </si>
  <si>
    <t>Framingham Heart Study 100K Project: genome-wide associations for blood pressure and arterial stiffness.</t>
  </si>
  <si>
    <t>Levy</t>
  </si>
  <si>
    <t>Blood pressure and arterial stiffness</t>
  </si>
  <si>
    <t>Genome-wide association study for subclinical atherosclerosis in major arterial territories in the NHLBI's Framingham Heart Study.</t>
  </si>
  <si>
    <t>O'Donnell</t>
  </si>
  <si>
    <t>Framingham Heart Study 100K project: genome-wide associations for cardiovascular disease outcomes.</t>
  </si>
  <si>
    <t>Larson</t>
  </si>
  <si>
    <t>A genome-wide association study of breast and prostate cancer in the NHLBI's Framingham Heart Study.</t>
  </si>
  <si>
    <t>Murabito</t>
  </si>
  <si>
    <t>Newton-Cheh C</t>
  </si>
  <si>
    <t>Genome-wide association study of electrocardiographic and heart rate variability traits: the Framingham Heart Study.</t>
  </si>
  <si>
    <t>Newton-Cheh</t>
  </si>
  <si>
    <t>Wilk JB</t>
  </si>
  <si>
    <t>Framingham Heart Study genome-wide association: results for pulmonary function measures.</t>
  </si>
  <si>
    <t>Wilk</t>
  </si>
  <si>
    <t>Genome-wide association of sleep and circadian phenotypes.</t>
  </si>
  <si>
    <t>Gottlieb</t>
  </si>
  <si>
    <t>Sleep and circadian phenotypes</t>
  </si>
  <si>
    <t>Neuro;Sleep</t>
  </si>
  <si>
    <t>Genome-wide association analysis identifies loci for type 2 diabetes and triglyceride levels.</t>
  </si>
  <si>
    <t>Broad DGI Webtables</t>
  </si>
  <si>
    <t>Broderick P</t>
  </si>
  <si>
    <t>A genome-wide association study shows that common alleles of SMAD7 influence colorectal cancer risk.</t>
  </si>
  <si>
    <t>Broderick</t>
  </si>
  <si>
    <t>A genomewide association study of skin pigmentation in a South Asian population.</t>
  </si>
  <si>
    <t>Stowkowski</t>
  </si>
  <si>
    <t>Skin pigmentation</t>
  </si>
  <si>
    <t>Sulem P</t>
  </si>
  <si>
    <t>Genetic determinants of hair, eye and skin pigmentation in Europeans.</t>
  </si>
  <si>
    <t>Sulem</t>
  </si>
  <si>
    <t>Hair, eye and skin pigmentation</t>
  </si>
  <si>
    <t>Eye-related;Skin-related;Hair</t>
  </si>
  <si>
    <t>Neurodegener Dis</t>
  </si>
  <si>
    <t>Sorl1 as an Alzheimer's disease predisposition gene?</t>
  </si>
  <si>
    <t>Webster</t>
  </si>
  <si>
    <t>Two independent alleles at 6q23 associated with risk of rheumatoid arthritis.</t>
  </si>
  <si>
    <t>Rheumatoid arthritis, cyclic citrullinated peptide (CCP) positive</t>
  </si>
  <si>
    <t>Myers</t>
  </si>
  <si>
    <t>The GLUT9 gene is associated with serum uric acid levels in Sardinia and Chianti cohorts.</t>
  </si>
  <si>
    <t>Li</t>
  </si>
  <si>
    <t>Arch Neurol</t>
  </si>
  <si>
    <t>Candidate single-nucleotide polymorphisms from a genomewide association study of Alzheimer disease.</t>
  </si>
  <si>
    <t>Kato</t>
  </si>
  <si>
    <t>Hypertension</t>
  </si>
  <si>
    <t>Pharmacogenet Genomics</t>
  </si>
  <si>
    <t>A novel genetic marker for coronary spasm in women from a genome-wide single nucleotide polymorphism analysis.</t>
  </si>
  <si>
    <t>50 Japanese female cases, 50 Japanese female controls</t>
  </si>
  <si>
    <t>151 Japanese female cases, 160 Japanese female controls</t>
  </si>
  <si>
    <t>Suzuki</t>
  </si>
  <si>
    <t>Coronary spasm</t>
  </si>
  <si>
    <t>Kamatani</t>
  </si>
  <si>
    <t>Butcher LM</t>
  </si>
  <si>
    <t>Genes Brain Behav</t>
  </si>
  <si>
    <t>Genome-wide quantitative trait locus association scan of general cognitive ability using pooled DNA and 500K single nucleotide polymorphism microarrays.</t>
  </si>
  <si>
    <t>Butcher</t>
  </si>
  <si>
    <t>Novel genes identified in a high-density genome wide association study for nicotine dependence.</t>
  </si>
  <si>
    <t>Bierut</t>
  </si>
  <si>
    <t>Cronin S</t>
  </si>
  <si>
    <t>A genome-wide association study of sporadic ALS in a homogenous Irish population.</t>
  </si>
  <si>
    <t>Cronin</t>
  </si>
  <si>
    <t>Genetic variation in DPP6 is associated with susceptibility to amyotrophic lateral sclerosis.</t>
  </si>
  <si>
    <t>J Natl Cancer Inst</t>
  </si>
  <si>
    <t>Two genome-wide association studies of aggressive prostate cancer implicate putative prostate tumor suppressor gene DAB2IP.</t>
  </si>
  <si>
    <t>Duggan</t>
  </si>
  <si>
    <t>Genome wide association (GWA) study for early onset extreme obesity supports the role of fat mass and obesity associated gene (FTO) variants.</t>
  </si>
  <si>
    <t>Hinney</t>
  </si>
  <si>
    <t>Kawase</t>
  </si>
  <si>
    <t>Autism</t>
  </si>
  <si>
    <t>Neuro;Behavioral;Autism</t>
  </si>
  <si>
    <t>Genome-wide association study identifies genes for biomarkers of cardiovascular disease: serum urate and dyslipidemia.</t>
  </si>
  <si>
    <t>Wallace</t>
  </si>
  <si>
    <t>Six new loci associated with blood low-density lipoprotein cholesterol, high-density lipoprotein cholesterol or triglycerides in humans.</t>
  </si>
  <si>
    <t>Sanna S</t>
  </si>
  <si>
    <t>Common variants in the GDF5-UQCC region are associated with variation in human height.</t>
  </si>
  <si>
    <t>Sanna</t>
  </si>
  <si>
    <t>Genome-wide scan identifies variation in MLXIPL associated with plasma triglycerides.</t>
  </si>
  <si>
    <t>Kooner</t>
  </si>
  <si>
    <t>Willer CJ</t>
  </si>
  <si>
    <t>Newly identified loci that influence lipid concentrations and risk of coronary artery disease.</t>
  </si>
  <si>
    <t>Willer</t>
  </si>
  <si>
    <t>Genome-wide pharmacogenomic analysis of the response to interferon beta therapy in multiple sclerosis.</t>
  </si>
  <si>
    <t>Byun</t>
  </si>
  <si>
    <t>Response to interferon beta in multiple sclerosis</t>
  </si>
  <si>
    <t>A novel susceptibility locus for type 1 diabetes on Chr12q13 identified by a genome-wide association study.</t>
  </si>
  <si>
    <t>Genome-wide association scan in women with systemic lupus erythematosus identifies susceptibility variants in ITGAM, PXK, KIAA1542 and other loci.</t>
  </si>
  <si>
    <t>SLEGEN</t>
  </si>
  <si>
    <t>Functional variants in the B-cell gene BANK1 are associated with systemic lupus erythematosus.</t>
  </si>
  <si>
    <t>Kozyrev</t>
  </si>
  <si>
    <t>Association of systemic lupus erythematosus with C8orf13-BLK and ITGAM-ITGAX.</t>
  </si>
  <si>
    <t>Hom</t>
  </si>
  <si>
    <t>Three genome-wide association studies and a linkage analysis identify HERC2 as a human iris color gene.</t>
  </si>
  <si>
    <t>Kayser</t>
  </si>
  <si>
    <t>Iris color</t>
  </si>
  <si>
    <t>Alpha-5/alpha-3 nicotinic receptor subunit alleles increase risk for heavy smoking.</t>
  </si>
  <si>
    <t>Berrettini</t>
  </si>
  <si>
    <t>Nicotine dependence, cigarettes per day</t>
  </si>
  <si>
    <t>Sequence variants in the RNF212 gene associate with genome-wide recombination rate.</t>
  </si>
  <si>
    <t>Kong</t>
  </si>
  <si>
    <t>Recombination rate</t>
  </si>
  <si>
    <t>Genome-wide association study shows BCL11A associated with persistent fetal hemoglobin and amelioration of the phenotype of beta-thalassemia.</t>
  </si>
  <si>
    <t>Uda</t>
  </si>
  <si>
    <t>Lancet</t>
  </si>
  <si>
    <t>LDL-cholesterol concentrations: a genome-wide association study.</t>
  </si>
  <si>
    <t>Sandhu</t>
  </si>
  <si>
    <t>Common sequence variants on 2p15 and Xp11.22 confer susceptibility to prostate cancer.</t>
  </si>
  <si>
    <t>Multiple newly identified loci associated with prostate cancer susceptibility.</t>
  </si>
  <si>
    <t>Eeles</t>
  </si>
  <si>
    <t>Thomas G</t>
  </si>
  <si>
    <t>Multiple loci identified in a genome-wide association study of prostate cancer.</t>
  </si>
  <si>
    <t>Thomas</t>
  </si>
  <si>
    <t>Genome-wide association identifies a common variant in the reelin gene that increases the risk of schizophrenia only in women.</t>
  </si>
  <si>
    <t>Arch Gen Psychiatry</t>
  </si>
  <si>
    <t>Genome-wide association for methamphetamine dependence: convergent results from 2 samples.</t>
  </si>
  <si>
    <t>Methamphetamine dependence</t>
  </si>
  <si>
    <t>Hunt KA</t>
  </si>
  <si>
    <t>Newly identified genetic risk variants for celiac disease related to the immune response.</t>
  </si>
  <si>
    <t>Sklar P</t>
  </si>
  <si>
    <t>Whole-genome association study of bipolar disorder.</t>
  </si>
  <si>
    <t>Liu YJ</t>
  </si>
  <si>
    <t>Genome-wide association scans identified CTNNBL1 as a novel gene for obesity.</t>
  </si>
  <si>
    <t>Body mass index (BMI)</t>
  </si>
  <si>
    <t>SLC2A9 influences uric acid concentrations with pronounced sex-specific effects.</t>
  </si>
  <si>
    <t>SLC2A9 is a newly identified urate transporter influencing serum urate concentration, urate excretion and gout.</t>
  </si>
  <si>
    <t>Gold B</t>
  </si>
  <si>
    <t>Genome-wide association study provides evidence for a breast cancer risk locus at 6q22.33.</t>
  </si>
  <si>
    <t>249 cases, 299 controls(Ashkenazi Jewish, non-BRCA1/2 carriers)</t>
  </si>
  <si>
    <t>Kirov G</t>
  </si>
  <si>
    <t>A genome-wide association study in 574 schizophrenia trios using DNA pooling.</t>
  </si>
  <si>
    <t>Emilsson</t>
  </si>
  <si>
    <t>Gene expression in adipose and blood cells</t>
  </si>
  <si>
    <t>Sullivan PF</t>
  </si>
  <si>
    <t>Genomewide association for schizophrenia in the CATIE study: results of stage 1.</t>
  </si>
  <si>
    <t>Behav Genet</t>
  </si>
  <si>
    <t>The nature of nurture: a genomewide association scan for family chaos.</t>
  </si>
  <si>
    <t>Family chaos</t>
  </si>
  <si>
    <t>Capon F</t>
  </si>
  <si>
    <t>Identification of ZNF313/RNF114 as a novel psoriasis susceptibility gene.</t>
  </si>
  <si>
    <t>Tenesa A</t>
  </si>
  <si>
    <t>Genome-wide association scan identifies a colorectal cancer susceptibility locus on 11q23 and replicates risk loci at 8q24 and 18q21.</t>
  </si>
  <si>
    <t>Meta-analysis of genome-wide association data and large-scale replication identifies additional susceptibility loci for type 2 diabetes.</t>
  </si>
  <si>
    <t>Tomlinson IP</t>
  </si>
  <si>
    <t>A genome-wide association study identifies colorectal cancer susceptibility loci on chromosomes 10p14 and 8q23.3.</t>
  </si>
  <si>
    <t>Complement factor H polymorphism in age-related macular degeneration.</t>
  </si>
  <si>
    <t>Genome-wide association scan of tag SNPs identifies a susceptibility locus for lung cancer at 15q25.1.</t>
  </si>
  <si>
    <t>Amos</t>
  </si>
  <si>
    <t>Thorgeirsson TE</t>
  </si>
  <si>
    <t>A variant associated with nicotine dependence, lung cancer and peripheral arterial disease.</t>
  </si>
  <si>
    <t>Hung RJ</t>
  </si>
  <si>
    <t>A susceptibility locus for lung cancer maps to nicotinic acetylcholine receptor subunit genes on 15q25.</t>
  </si>
  <si>
    <t>Liu Y</t>
  </si>
  <si>
    <t>A genome-wide association study of psoriasis and psoriatic arthritis identifies new disease loci.</t>
  </si>
  <si>
    <t>Lettre G</t>
  </si>
  <si>
    <t>Identification of ten loci associated with height highlights new biological pathways in human growth.</t>
  </si>
  <si>
    <t>Many sequence variants affecting diversity of adult human height.</t>
  </si>
  <si>
    <t>Genome-wide association analysis identifies 20 loci that influence adult height.</t>
  </si>
  <si>
    <t>Ober C</t>
  </si>
  <si>
    <t>Effect of variation in CHI3L1 on serum YKL-40 level, risk of asthma, and lung function.</t>
  </si>
  <si>
    <t>Ridker PM</t>
  </si>
  <si>
    <t>Loci related to metabolic-syndrome pathways including LEPR,HNF1A, IL6R, and GCKR associate with plasma C-reactive protein: the Women's Genome Health Study.</t>
  </si>
  <si>
    <t>Reiner AP</t>
  </si>
  <si>
    <t>Polymorphisms of the HNF1A gene encoding hepatocyte nuclear factor-1 alpha are associated with C-reactive protein.</t>
  </si>
  <si>
    <t>Richards JB</t>
  </si>
  <si>
    <t>Bone mineral density, osteoporosis, and osteoporotic fractures: a genome-wide association study.</t>
  </si>
  <si>
    <t>Bone mineral density (BMD)</t>
  </si>
  <si>
    <t>Styrkarsdottir U</t>
  </si>
  <si>
    <t>Multiple genetic loci for bone mineral density and fractures.</t>
  </si>
  <si>
    <t>Poduslo SE</t>
  </si>
  <si>
    <t>Genome screen of late-onset Alzheimer's extended pedigrees identifies TRPC4AP by haplotype analysis.</t>
  </si>
  <si>
    <t>Chambers JC</t>
  </si>
  <si>
    <t>Common genetic variation near MC4R is associated with waist circumference and insulin resistance.</t>
  </si>
  <si>
    <t>Waist circumference</t>
  </si>
  <si>
    <t>Loos RJ</t>
  </si>
  <si>
    <t>Common variants near MC4R are associated with fat mass, weight and risk of obesity.</t>
  </si>
  <si>
    <t>Schadt</t>
  </si>
  <si>
    <t>Kibriya MG</t>
  </si>
  <si>
    <t>Breast Cancer Res Treat</t>
  </si>
  <si>
    <t>A pilot genome-wide association study of early-onset breast cancer.</t>
  </si>
  <si>
    <t>Valdes AM</t>
  </si>
  <si>
    <t>Genome-wide association scan identifies a prostaglandin-endoperoxide synthase 2 variant involved in risk of knee osteoarthritis.</t>
  </si>
  <si>
    <t>Osteoarthritis</t>
  </si>
  <si>
    <t>Bone-related;Arthritis</t>
  </si>
  <si>
    <t>Melzer D</t>
  </si>
  <si>
    <t>A genome-wide association study identifies protein quantitative trait loci (pQTLs).</t>
  </si>
  <si>
    <t>Maris JM</t>
  </si>
  <si>
    <t>Chromosome 6p22 locus associated with clinically aggressive neuroblastoma.</t>
  </si>
  <si>
    <t>Neuroblastoma</t>
  </si>
  <si>
    <t>Cancer;Brain cancer;Neuro</t>
  </si>
  <si>
    <t>French</t>
  </si>
  <si>
    <t>Gene expression in leukemia cells and normal leukocytes</t>
  </si>
  <si>
    <t>Han J</t>
  </si>
  <si>
    <t>A genome-wide association study identifies novel alleles associated with hair color and skin pigmentation.</t>
  </si>
  <si>
    <t>Brown KM</t>
  </si>
  <si>
    <t>Common sequence variants on 20q11.22 confer melanoma susceptibility.</t>
  </si>
  <si>
    <t>Two newly identified genetic determinants of pigmentation in Europeans.</t>
  </si>
  <si>
    <t>Lavedan C</t>
  </si>
  <si>
    <t>Association of the NPAS3 gene and five other loci with response to the antipsychotic iloperidone identified in a whole genome association study.</t>
  </si>
  <si>
    <t>Drug response;Neuro;Schizophrenia</t>
  </si>
  <si>
    <t>Volpi S</t>
  </si>
  <si>
    <t>Whole genome association study identifies polymorphisms associated with QT prolongation during iloperidone treatment of schizophrenia.</t>
  </si>
  <si>
    <t>Molecular genetics of successful smoking cessation: convergent genome-wide association study results.</t>
  </si>
  <si>
    <t>Chen WM</t>
  </si>
  <si>
    <t>J Clin Invest</t>
  </si>
  <si>
    <t>Variations in the G6PC2/ABCB11 genomic region are associated with fasting glucose levels.</t>
  </si>
  <si>
    <t>Fasting glucose</t>
  </si>
  <si>
    <t>Cooper GM</t>
  </si>
  <si>
    <t>Blood</t>
  </si>
  <si>
    <t>A genome-wide scan for common genetic variants with a large influence on warfarin maintenance dose.</t>
  </si>
  <si>
    <t>Warfarin dose</t>
  </si>
  <si>
    <t>Drug response;Blood-related</t>
  </si>
  <si>
    <t>Bouatia-Naji N</t>
  </si>
  <si>
    <t>A polymorphism within the G6PC2 gene is associated with fasting plasma glucose levels.</t>
  </si>
  <si>
    <t>Behrens EM</t>
  </si>
  <si>
    <t>Arthritis Rheum</t>
  </si>
  <si>
    <t>Association of the TRAF1-C5 locus on chromosome 9 with juvenile idiopathic arthritis.</t>
  </si>
  <si>
    <t>Barrett JC</t>
  </si>
  <si>
    <t>Genome-wide association defines more than 30 distinct susceptibility loci for Crohn's disease.</t>
  </si>
  <si>
    <t>Turner ST</t>
  </si>
  <si>
    <t>Genomic association analysis suggests chromosome 12 locus influencing antihypertensive response to thiazide diuretic.</t>
  </si>
  <si>
    <t>Sarasquete ME</t>
  </si>
  <si>
    <t>Bisphosphonate-related osteonecrosis of the jaw is associated with polymorphisms of the cytochrome P450 CYP2C8 in multiple myeloma: a genome-wide single nucleotide polymorphism analysis.</t>
  </si>
  <si>
    <t>Osteonecrosis of the jaw</t>
  </si>
  <si>
    <t>Novel association of ABO histo-blood group antigen with soluble ICAM-1: results of a genome-wide association study of 6,578 women.</t>
  </si>
  <si>
    <t>Pare G</t>
  </si>
  <si>
    <t>Liu C</t>
  </si>
  <si>
    <t>Mol Med</t>
  </si>
  <si>
    <t>Genome-wide association scan identifies candidate polymorphisms associated with differential response to anti-TNF treatment in rheumatoid arthritis.</t>
  </si>
  <si>
    <t>Response to anti-TNF treatment in arthritis</t>
  </si>
  <si>
    <t>Gastroenterology</t>
  </si>
  <si>
    <t>Genome-wide association analysis in sarcoidosis and Crohn's disease unravels a common susceptibility locus on 10p12.2.</t>
  </si>
  <si>
    <t>SLCO1B1 variants and statin-induced myopathy--a genomewide study.</t>
  </si>
  <si>
    <t>SEARCH Collaborative Group</t>
  </si>
  <si>
    <t>Statin-induced myopathy</t>
  </si>
  <si>
    <t>Schormair B</t>
  </si>
  <si>
    <t>PTPRD (protein tyrosine phosphatase receptor type delta) is associated with restless legs syndrome.</t>
  </si>
  <si>
    <t>O'Donovan MC</t>
  </si>
  <si>
    <t>Identification of loci associated with schizophrenia by genome-wide association and follow-up.</t>
  </si>
  <si>
    <t>Graham RR</t>
  </si>
  <si>
    <t>Genetic variants near TNFAIP3 on 6q23 are associated with systemic lupus erythematosus.</t>
  </si>
  <si>
    <t>Genome-wide association study of rheumatoid arthritis in the Spanish population: KLF12 as a risk locus for rheumatoid arthritis susceptibility.</t>
  </si>
  <si>
    <t>Hofmann S</t>
  </si>
  <si>
    <t>Genome-wide association study identifies ANXA11 as a new susceptibility locus for sarcoidosis.</t>
  </si>
  <si>
    <t>Sarcoidosis</t>
  </si>
  <si>
    <t>Inflammation</t>
  </si>
  <si>
    <t>Unoki H</t>
  </si>
  <si>
    <t>SNPs in KCNQ1 are associated with susceptibility to type 2 diabetes in East Asian and European populations.</t>
  </si>
  <si>
    <t>Variants in KCNQ1 are associated with susceptibility to type 2 diabetes mellitus.</t>
  </si>
  <si>
    <t>Yasuda</t>
  </si>
  <si>
    <t>Ferreira MA</t>
  </si>
  <si>
    <t>Collaborative genome-wide association analysis supports a role for ANK3 and CACNA1C in bipolar disorder.</t>
  </si>
  <si>
    <t>Weidinger S</t>
  </si>
  <si>
    <t>Genome-wide scan on total serum IgE levels identifies FCER1A as novel susceptibility locus.</t>
  </si>
  <si>
    <t>Galvan A</t>
  </si>
  <si>
    <t>Int J Cancer</t>
  </si>
  <si>
    <t>A polygenic model with common variants may predict lung adenocarcinoma risk in humans.</t>
  </si>
  <si>
    <t>Huyghe JR</t>
  </si>
  <si>
    <t>Genome-wide SNP-based linkage scan identifies a locus on 8q24 for an age-related hearing impairment trait.</t>
  </si>
  <si>
    <t>Hearing impairment, age related</t>
  </si>
  <si>
    <t>Di Bernardo MC</t>
  </si>
  <si>
    <t>A genome-wide association study identifies six susceptibility loci for chronic lymphocytic leukemia.</t>
  </si>
  <si>
    <t>Kugathasan S</t>
  </si>
  <si>
    <t>Loci on 20q13 and 21q22 are associated with pediatric-onset inflammatory bowel disease.</t>
  </si>
  <si>
    <t>McArdle PF</t>
  </si>
  <si>
    <t>Association of a common nonsynonymous variant in GLUT9 with serum uric acid levels in old order amish.</t>
  </si>
  <si>
    <t>van den Oord EJ</t>
  </si>
  <si>
    <t>Genomewide association analysis followed by a replication study implicates a novel candidate gene for neuroticism.</t>
  </si>
  <si>
    <t>Hazra A</t>
  </si>
  <si>
    <t>Common variants of FUT2 are associated with plasma vitamin B12 levels.</t>
  </si>
  <si>
    <t>Liu YZ</t>
  </si>
  <si>
    <t>Identification of PLCL1 gene for hip bone size variation in females in a genome-wide association study.</t>
  </si>
  <si>
    <t>Bone size</t>
  </si>
  <si>
    <t>Raychaudhuri S</t>
  </si>
  <si>
    <t>Common variants at CD40 and other loci confer risk of rheumatoid arthritis.</t>
  </si>
  <si>
    <t>Kiemeney LA</t>
  </si>
  <si>
    <t>Sequence variant on 8q24 confers susceptibility to urinary bladder cancer.</t>
  </si>
  <si>
    <t>Urinary bladder cancer</t>
  </si>
  <si>
    <t>Cancer;Bladder cancer</t>
  </si>
  <si>
    <t>Liu P</t>
  </si>
  <si>
    <t>Familial aggregation of common sequence variants on 15q24-25.1 in lung cancer.</t>
  </si>
  <si>
    <t>Burkhardt R</t>
  </si>
  <si>
    <t>Arterioscler Thromb Vasc Biol</t>
  </si>
  <si>
    <t>Common SNPs in HMGCR in micronesians and whites associated with LDL-cholesterol levels affect alternative splicing of exon13.</t>
  </si>
  <si>
    <t>Mick E</t>
  </si>
  <si>
    <t>Genome-wide association study of response to methylphenidate in 187 children with attention-deficit/hyperactivity disorder.</t>
  </si>
  <si>
    <t>Miyagawa T</t>
  </si>
  <si>
    <t>Variant between CPT1B and CHKB associated with susceptibility to narcolepsy.</t>
  </si>
  <si>
    <t>222 Japanese cases,389 Japanese controls</t>
  </si>
  <si>
    <t>Narcolepsy</t>
  </si>
  <si>
    <t>Abraham R</t>
  </si>
  <si>
    <t>BMC Med Genomics</t>
  </si>
  <si>
    <t>A genome-wide association study for late-onset Alzheimer's disease using DNA pooling.</t>
  </si>
  <si>
    <t>Mushiroda T</t>
  </si>
  <si>
    <t>J Med Genet</t>
  </si>
  <si>
    <t>A genome-wide association study identifies an association of a common variant in TERT with susceptibility to idiopathic pulmonary fibrosis.</t>
  </si>
  <si>
    <t>159 Japanese cases,934 Japanese controls</t>
  </si>
  <si>
    <t>83 Japanese cases,535 Japanese controls</t>
  </si>
  <si>
    <t>Pulmonary</t>
  </si>
  <si>
    <t>Dehghan A</t>
  </si>
  <si>
    <t>Association of three genetic loci with uric acid concentration and risk of gout: a genome-wide association study.</t>
  </si>
  <si>
    <t>Gretarsdottir S</t>
  </si>
  <si>
    <t>Ann Neurol</t>
  </si>
  <si>
    <t>Risk variants for atrial fibrillation on chromosome 4q25 associate with ischemic stroke.</t>
  </si>
  <si>
    <t>Circ Cardiovasc Genet</t>
  </si>
  <si>
    <t>Genetic loci associated with plasma concentration of low-density lipoprotein cholesterol, high-density lipoprotein cholesterol, triglycerides, apolipoprotein A1, and Apolipoprotein B among 6382 white women in genome-wide analysis with replication.</t>
  </si>
  <si>
    <t>Chasman</t>
  </si>
  <si>
    <t>Genome-wide association analysis of high-density lipoprotein cholesterol in the population-based KORA study sheds new light on intergenic regions.</t>
  </si>
  <si>
    <t>Heid</t>
  </si>
  <si>
    <t>Sequence variants in IL10, ARPC2 and multiple other loci contribute to ulcerative colitis susceptibility.</t>
  </si>
  <si>
    <t>Ulcerative colitis</t>
  </si>
  <si>
    <t>Gastrointestinal;Inflammation;Ulcerative colitis</t>
  </si>
  <si>
    <t>Lesch KP</t>
  </si>
  <si>
    <t>J Neural Transm</t>
  </si>
  <si>
    <t>Molecular genetics of adult ADHD: converging evidence from genome-wide association and extended pedigree linkage studies.</t>
  </si>
  <si>
    <t>ADHD in adults</t>
  </si>
  <si>
    <t>Grant SF</t>
  </si>
  <si>
    <t>Follow-up analysis of genome-wide association data identifies novel loci for type 1 diabetes.</t>
  </si>
  <si>
    <t>Sonuga-Barke EJ</t>
  </si>
  <si>
    <t>Does parental expressed emotion moderate genetic effects in ADHD? An exploration using a genome wide association scan.</t>
  </si>
  <si>
    <t>ADHD and conduct disorder symptoms</t>
  </si>
  <si>
    <t>Yuan X</t>
  </si>
  <si>
    <t>Population-based genome-wide association studies reveal six loci influencing plasma levels of liver enzymes.</t>
  </si>
  <si>
    <t>Male-pattern baldness susceptibility locus at 20p11.</t>
  </si>
  <si>
    <t>Hair</t>
  </si>
  <si>
    <t>Common variants on 1p36 and 1q42 are associated with cutaneous basal cell carcinoma but not with melanoma or pigmentation traits.</t>
  </si>
  <si>
    <t>Hillmer AM</t>
  </si>
  <si>
    <t>Susceptibility variants for male-pattern baldness on chromosome 20p11.</t>
  </si>
  <si>
    <t>Comabella M</t>
  </si>
  <si>
    <t>Identification of a novel risk locus for multiple sclerosis at 13q31.3 by a pooled genome-wide scan of 500,000 single nucleotide polymorphisms.</t>
  </si>
  <si>
    <t>Johansson A</t>
  </si>
  <si>
    <t>Common variants in the JAZF1 gene associated with height identified by linkage and genome-wide association analysis.</t>
  </si>
  <si>
    <t>Anney RJ</t>
  </si>
  <si>
    <t>Conduct disorder and ADHD: evaluation of conduct problems as a categorical and quantitative trait in the international multicentre ADHD genetics study.</t>
  </si>
  <si>
    <t>Bertram L</t>
  </si>
  <si>
    <t>Genome-wide association analysis reveals putative Alzheimer's disease susceptibility loci in addition to APOE.</t>
  </si>
  <si>
    <t>Wang Y</t>
  </si>
  <si>
    <t>Common 5p15.33 and 6p21.33 variants influence lung cancer risk.</t>
  </si>
  <si>
    <t>McKay JD</t>
  </si>
  <si>
    <t>Lung cancer susceptibility locus at 5p15.33.</t>
  </si>
  <si>
    <t>Cooper JD</t>
  </si>
  <si>
    <t>Meta-analysis of genome-wide association study data identifies additional type 1 diabetes risk loci.</t>
  </si>
  <si>
    <t>Neale BM</t>
  </si>
  <si>
    <t>Genome-wide association scan of attention deficit hyperactivity disorder.</t>
  </si>
  <si>
    <t>ADHD</t>
  </si>
  <si>
    <t>Eur J Hum Genet</t>
  </si>
  <si>
    <t>Screening for replication of genome-wide SNP associations in sporadic ALS.</t>
  </si>
  <si>
    <t>Pankratz N</t>
  </si>
  <si>
    <t>Hum Genet</t>
  </si>
  <si>
    <t>Genomewide association study for susceptibility genes contributing to familial Parkinson disease.</t>
  </si>
  <si>
    <t>Drgon T</t>
  </si>
  <si>
    <t>Genome-wide association for nicotine dependence and smoking cessation success in NIH research volunteers.</t>
  </si>
  <si>
    <t>Aulchenko YS</t>
  </si>
  <si>
    <t>Genetic variation in the KIF1B locus influences susceptibility to multiple sclerosis.</t>
  </si>
  <si>
    <t>Susceptibility loci for intracranial aneurysm in European and Japanese populations.</t>
  </si>
  <si>
    <t>495 Japanese cases,676 Japanese controls</t>
  </si>
  <si>
    <t>Bilguvar</t>
  </si>
  <si>
    <t>Intracranial aneurysm</t>
  </si>
  <si>
    <t>Baranzini SE</t>
  </si>
  <si>
    <t>Genome-wide association analysis of susceptibility and clinical phenotype in multiple sclerosis.</t>
  </si>
  <si>
    <t>Houlston RS</t>
  </si>
  <si>
    <t>Meta-analysis of genome-wide association data identifies four new susceptibility loci for colorectal cancer.</t>
  </si>
  <si>
    <t>Potkin SG</t>
  </si>
  <si>
    <t>Schizophr Bull</t>
  </si>
  <si>
    <t>A genome-wide association study of schizophrenia using brain activation as a quantitative phenotype.</t>
  </si>
  <si>
    <t>Lei SF</t>
  </si>
  <si>
    <t>Genome-wide association scan for stature in Chinese: evidence for ethnic specific loci.</t>
  </si>
  <si>
    <t>618 Chinese individuals</t>
  </si>
  <si>
    <t>Terracciano A</t>
  </si>
  <si>
    <t>Genome-wide association scan for five major dimensions of personality.</t>
  </si>
  <si>
    <t>Gieger C</t>
  </si>
  <si>
    <t>Genetics meets metabolomics: a genome-wide association study of metabolite profiles in human serum.</t>
  </si>
  <si>
    <t>Friedman RA</t>
  </si>
  <si>
    <t>GRM7 variants confer susceptibility to age-related hearing impairment.</t>
  </si>
  <si>
    <t>Prokopenko I</t>
  </si>
  <si>
    <t>Variants in MTNR1B influence fasting glucose levels.</t>
  </si>
  <si>
    <t>Timpson NJ</t>
  </si>
  <si>
    <t>Adiposity-related heterogeneity in patterns of type 2 diabetes susceptibility observed in genome-wide association data.</t>
  </si>
  <si>
    <t>Lasky-Su J</t>
  </si>
  <si>
    <t>Genome-wide association scan of quantitative traits for attention deficit hyperactivity disorder identifies novel associations and confirms candidate gene associations.</t>
  </si>
  <si>
    <t>Genome-wide association scan of the time to onset of attention deficit hyperactivity disorder.</t>
  </si>
  <si>
    <t>A variant near MTNR1B is associated with increased fasting plasma glucose levels and type 2 diabetes risk.</t>
  </si>
  <si>
    <t>Sabatti C</t>
  </si>
  <si>
    <t>Genome-wide association analysis of metabolic traits in a birth cohort from a founder population.</t>
  </si>
  <si>
    <t>Loci influencing lipid levels and coronary heart disease risk in 16 European population cohorts.</t>
  </si>
  <si>
    <t>Common variants at 30 loci contribute to polygenic dyslipidemia.</t>
  </si>
  <si>
    <t>Genome-wide association for major depressive disorder: a possible role for the presynaptic protein piccolo.</t>
  </si>
  <si>
    <t>Major depression</t>
  </si>
  <si>
    <t>Neuro;Depression</t>
  </si>
  <si>
    <t>Mead S</t>
  </si>
  <si>
    <t>Genetic risk factors for variant Creutzfeldt-Jakob disease: a genome-wide association study.</t>
  </si>
  <si>
    <t>Creutzfeldt-Jakob disease variant</t>
  </si>
  <si>
    <t>Genome-wide association yields new sequence variants at seven loci that associate with measures of obesity.</t>
  </si>
  <si>
    <t>Six new loci associated with body mass index highlight a neuronal influence on body weight regulation.</t>
  </si>
  <si>
    <t>New sequence variants associated with bone mineral density.</t>
  </si>
  <si>
    <t>Pollin TI</t>
  </si>
  <si>
    <t>A null mutation in human APOC3 confers a favorable plasma lipid profile and apparent cardioprotection.</t>
  </si>
  <si>
    <t>Benyamin B</t>
  </si>
  <si>
    <t>Variants in TF and HFE explain approximately 40% of genetic variation in serum-transferrin levels.</t>
  </si>
  <si>
    <t>Novel association of HK1 with glycated hemoglobin in a non-diabetic population: a genome-wide evaluation of 14,618 participants in the Women's Genome Health Study.</t>
  </si>
  <si>
    <t>ParAC G</t>
  </si>
  <si>
    <t>Muglia P</t>
  </si>
  <si>
    <t>Genome-wide association study of recurrent major depressive disorder in two European case-control cohorts.</t>
  </si>
  <si>
    <t>Heinzen</t>
  </si>
  <si>
    <t>Gene expression in cortex and peripheral blood mononuclear cells</t>
  </si>
  <si>
    <t>Meisinger C</t>
  </si>
  <si>
    <t>A genome-wide association study identifies three loci associated with mean platelet volume.</t>
  </si>
  <si>
    <t>From the Cover: Whole-genome association study identifies STK39 as a hypertension susceptibility gene.</t>
  </si>
  <si>
    <t>Blood pressure and/or hypertension</t>
  </si>
  <si>
    <t>Limou S</t>
  </si>
  <si>
    <t>J Infect Dis</t>
  </si>
  <si>
    <t>Genomewide association study of an AIDS-nonprogression cohort emphasizes the role played by HLA genes (ANRS Genomewide Association Study 02).</t>
  </si>
  <si>
    <t>Hinks A</t>
  </si>
  <si>
    <t>Identification of a novel susceptibility locus for juvenile idiopathic arthritis by genome-wide association analysis.</t>
  </si>
  <si>
    <t>Sun J</t>
  </si>
  <si>
    <t>Cancer Res</t>
  </si>
  <si>
    <t>Sequence variants at 22q13 are associated with prostate cancer risk.</t>
  </si>
  <si>
    <t>Prostate cancer, aggressive</t>
  </si>
  <si>
    <t>Beecham GW</t>
  </si>
  <si>
    <t>Genome-wide association study implicates a chromosome 12 risk locus for late-onset Alzheimer disease.</t>
  </si>
  <si>
    <t>Illumina [~2.5 million] (imputed)</t>
  </si>
  <si>
    <t>Silverberg MS</t>
  </si>
  <si>
    <t>Ulcerative colitis-risk loci on chromosomes 1p36 and 12q15 found by genome-wide association study.</t>
  </si>
  <si>
    <t>J Lipid Res</t>
  </si>
  <si>
    <t>Genome-wide association study of plasma lipoprotein(a) levels identifies multiple genes on chromosome 6q.</t>
  </si>
  <si>
    <t>Feulner TM</t>
  </si>
  <si>
    <t>Examination of the current top candidate genes for AD in a genome-wide association study.</t>
  </si>
  <si>
    <t>Heap</t>
  </si>
  <si>
    <t>Gene expression in leukocytes</t>
  </si>
  <si>
    <t>Burgner D</t>
  </si>
  <si>
    <t>A genome-wide association study identifies novel and functionally related susceptibility Loci for Kawasaki disease.</t>
  </si>
  <si>
    <t>Kawasaki disease</t>
  </si>
  <si>
    <t>Carrasquillo MM</t>
  </si>
  <si>
    <t>Genetic variation in PCDH11X is associated with susceptibility to late-onset Alzheimer's disease.</t>
  </si>
  <si>
    <t>Tanaka T</t>
  </si>
  <si>
    <t>Genome-wide association study of plasma polyunsaturated fatty acids in the InCHIANTI Study.</t>
  </si>
  <si>
    <t>Meyre D</t>
  </si>
  <si>
    <t>Genome-wide association study for early-onset and morbid adult obesity identifies three new risk loci in European populations.</t>
  </si>
  <si>
    <t>Ling H</t>
  </si>
  <si>
    <t>Obesity (Silver Spring)</t>
  </si>
  <si>
    <t>Genome-wide linkage and association analyses to identify genes influencing adiponectin levels: the GEMS Study.</t>
  </si>
  <si>
    <t>Otowa T</t>
  </si>
  <si>
    <t>J Hum Genet</t>
  </si>
  <si>
    <t>Genome-wide association study of panic disorder in the Japanese population.</t>
  </si>
  <si>
    <t>200 Japanese cases, 200 Japanese controls</t>
  </si>
  <si>
    <t>Panic disorder</t>
  </si>
  <si>
    <t>Nair RP</t>
  </si>
  <si>
    <t>Genome-wide scan reveals association of psoriasis with IL-23 and NF-kappaB pathways.</t>
  </si>
  <si>
    <t>Perlegen [~2.5 million] (imputed)</t>
  </si>
  <si>
    <t>Zhang XJ</t>
  </si>
  <si>
    <t>Psoriasis genome-wide association study identifies susceptibility variants within LCE gene cluster at 1q21.</t>
  </si>
  <si>
    <t>Yang JJ</t>
  </si>
  <si>
    <t>JAMA</t>
  </si>
  <si>
    <t>Genome-wide interrogation of germline genetic variation associated with treatment response in childhood acute lymphoblastic leukemia.</t>
  </si>
  <si>
    <t>BossAC Y</t>
  </si>
  <si>
    <t>Ferrucci L</t>
  </si>
  <si>
    <t>Common variation in the beta-carotene 15,15'-monooxygenase 1 gene affects circulating levels of carotenoids: a genome-wide association study.</t>
  </si>
  <si>
    <t>Common variants in the region around Osterix are associated with bone mineral density and growth in childhood.</t>
  </si>
  <si>
    <t>Variant in the sequence of the LINGO1 gene confers risk of essential tremor.</t>
  </si>
  <si>
    <t>Essential tremor</t>
  </si>
  <si>
    <t>Kim H</t>
  </si>
  <si>
    <t>Pharmacogenomics</t>
  </si>
  <si>
    <t>Genome-wide association study of acute post-surgical pain in humans.</t>
  </si>
  <si>
    <t>Kim SH</t>
  </si>
  <si>
    <t>Clin Exp Allergy</t>
  </si>
  <si>
    <t>Alpha-T-catenin (CTNNA3) gene was identified as a risk variant for toluene diisocyanate-induced asthma by genome-wide association analysis.</t>
  </si>
  <si>
    <t>84 Korean cases, 263 Korean controls</t>
  </si>
  <si>
    <t>Polasek O</t>
  </si>
  <si>
    <t>Croat Med J</t>
  </si>
  <si>
    <t>Genome-wide association study of anthropometric traits in Korcula Island, Croatia.</t>
  </si>
  <si>
    <t>Zemunik T</t>
  </si>
  <si>
    <t>Genome-wide association study of biochemical traits in Korcula Island, Croatia.</t>
  </si>
  <si>
    <t>Lean body mass</t>
  </si>
  <si>
    <t>Polymorphism in the CETP gene region, HDL cholesterol, and risk of future myocardial infarction: Genomewide analysis among 18 245 initially healthy women from the Women's Genome Health Study.</t>
  </si>
  <si>
    <t>Ridker</t>
  </si>
  <si>
    <t>Genome-wide association analyses suggested a novel mechanism for smoking behavior regulated by IL15.</t>
  </si>
  <si>
    <t>Nicotine smoking</t>
  </si>
  <si>
    <t>A two-stage genome-wide association study of sporadic amyotrophic lateral sclerosis.</t>
  </si>
  <si>
    <t>ChiA2 A</t>
  </si>
  <si>
    <t>Garcia-Barcelo MM</t>
  </si>
  <si>
    <t>Genome-wide association study identifies NRG1 as a susceptibility locus for Hirschsprung's disease.</t>
  </si>
  <si>
    <t>181 Chinese cases, 346 Chinese controls</t>
  </si>
  <si>
    <t>190 Chinese cases, 510 Chinese controls</t>
  </si>
  <si>
    <t>Hirschsprung's disease</t>
  </si>
  <si>
    <t>Common variants on 9q22.33 and 14q13.3 predispose to thyroid cancer in European populations.</t>
  </si>
  <si>
    <t>Thyroid cancer</t>
  </si>
  <si>
    <t>Lowe JK</t>
  </si>
  <si>
    <t>Genome-wide association studies in an isolated founder population from the Pacific Island of Kosrae.</t>
  </si>
  <si>
    <t>Need AC</t>
  </si>
  <si>
    <t>A genome-wide investigation of SNPs and CNVs in schizophrenia.</t>
  </si>
  <si>
    <t>Genome-wide haplotype association study identifies the SLC22A3-LPAL2-LPA gene cluster as a risk locus for coronary artery disease.</t>
  </si>
  <si>
    <t>Genome-wide association of early-onset myocardial infarction with single nucleotide polymorphisms and copy number variants.</t>
  </si>
  <si>
    <t>Affymetrix [~2.5 million] (imputed)</t>
  </si>
  <si>
    <t>Sequence variants affecting eosinophil numbers associate with asthma and myocardial infarction.</t>
  </si>
  <si>
    <t>Erdmann J</t>
  </si>
  <si>
    <t>New susceptibility locus for coronary artery disease on chromosome 3q22.3.</t>
  </si>
  <si>
    <t>Soranzo N</t>
  </si>
  <si>
    <t>A novel variant on chromosome 7q22.3 associated with mean platelet volume, counts, and function.</t>
  </si>
  <si>
    <t>Zheng W</t>
  </si>
  <si>
    <t>Genome-wide association study identifies a new breast cancer susceptibility locus at 6q25.1.</t>
  </si>
  <si>
    <t>Smith JG</t>
  </si>
  <si>
    <t>Heart Rhythm</t>
  </si>
  <si>
    <t>Genome-wide association study of electrocardiographic conduction measures in an isolated founder population: Kosrae.</t>
  </si>
  <si>
    <t>Schrauwen I</t>
  </si>
  <si>
    <t>A genome-wide analysis identifies genetic variants in the RELN gene associated with otosclerosis.</t>
  </si>
  <si>
    <t>Otosclerosis</t>
  </si>
  <si>
    <t>Hearing;Bone-related</t>
  </si>
  <si>
    <t>Gu Y</t>
  </si>
  <si>
    <t>Identification of IFRD1 as a modifier gene for cystic fibrosis lung disease.</t>
  </si>
  <si>
    <t>Xiong DH</t>
  </si>
  <si>
    <t>Genome-wide association and follow-up replication studies identified ADAMTS18 and TGFBR3 as bone mass candidate genes in different ethnic groups.</t>
  </si>
  <si>
    <t>Caporaso N</t>
  </si>
  <si>
    <t>Genome-wide and candidate gene association study of cigarette smoking behaviors.</t>
  </si>
  <si>
    <t>Pezzolesi MG</t>
  </si>
  <si>
    <t>Genome-wide association scan for diabetic nephropathy susceptibility genes in type 1 diabetes.</t>
  </si>
  <si>
    <t>Hattori E</t>
  </si>
  <si>
    <t>Preliminary genome-wide association study of bipolar disorder in the Japanese population.</t>
  </si>
  <si>
    <t>395 cases, 409 controls</t>
  </si>
  <si>
    <t>Liu XG</t>
  </si>
  <si>
    <t>Genome-wide association and replication studies identified TRHR as an important gene for lean body mass.</t>
  </si>
  <si>
    <t>Vink JM</t>
  </si>
  <si>
    <t>Genome-wide association study of smoking initiation and current smoking.</t>
  </si>
  <si>
    <t>Birnbaum S</t>
  </si>
  <si>
    <t>Key susceptibility locus for nonsyndromic cleft lip with or without cleft palate on chromosome 8q24.</t>
  </si>
  <si>
    <t>246 cases, 954 controls</t>
  </si>
  <si>
    <t>Common susceptibility alleles are unlikely to contribute as strongly as the FV and ABO loci to VTE risk: results from a GWAS approach.</t>
  </si>
  <si>
    <t>Venous thromboembolism</t>
  </si>
  <si>
    <t>Yang W</t>
  </si>
  <si>
    <t>Genome-wide association analyses identify SPOCK as a key novel gene underlying age at menarche.</t>
  </si>
  <si>
    <t>Age at menarche</t>
  </si>
  <si>
    <t>Cui J</t>
  </si>
  <si>
    <t>Genome-wide association study of determinants of anti-cyclic citrullinated peptide antibody titer in adults with rheumatoid arthritis.</t>
  </si>
  <si>
    <t>Anti-cyclic citrullinated peptide titer</t>
  </si>
  <si>
    <t>Kilpivaara O</t>
  </si>
  <si>
    <t>A germline JAK2 SNP is associated with predisposition to the development of JAK2(V617F)-positive myeloproliferative neoplasms.</t>
  </si>
  <si>
    <t>Myeloproliferative neoplasm</t>
  </si>
  <si>
    <t>Genome-wide association study of vitamin B6, vitamin B12, folate, and homocysteine blood concentrations.</t>
  </si>
  <si>
    <t>Lin JP</t>
  </si>
  <si>
    <t>Pillai SG</t>
  </si>
  <si>
    <t>A genome-wide association study in chronic obstructive pulmonary disease (COPD): identification of two major susceptibility loci.</t>
  </si>
  <si>
    <t>Takeuchi F</t>
  </si>
  <si>
    <t>A genome-wide association study confirms VKORC1, CYP2C9, and CYP4F2 as principal genetic determinants of warfarin dose.</t>
  </si>
  <si>
    <t>Org E</t>
  </si>
  <si>
    <t>Genome-wide scan identifies CDH13 as a novel susceptibility locus contributing to blood pressure determination in two European populations.</t>
  </si>
  <si>
    <t>A genome-wide association study of pulmonary function measures in the Framingham Heart Study.</t>
  </si>
  <si>
    <t>Lung function</t>
  </si>
  <si>
    <t>Common variants at ten loci influence QT interval duration in the QTGEN Study.</t>
  </si>
  <si>
    <t>Pfeufer A</t>
  </si>
  <si>
    <t>Common variants at ten loci modulate the QT interval duration in the QTSCD Study.</t>
  </si>
  <si>
    <t>Ahmed S</t>
  </si>
  <si>
    <t>A multistage genome-wide association study in breast cancer identifies two new risk alleles at 1p11.2 and 14q24.1 (RAD51L1).</t>
  </si>
  <si>
    <t>Imada Y</t>
  </si>
  <si>
    <t>Asthma</t>
  </si>
  <si>
    <t>Association of novel genetic Loci with circulating fibrinogen levels: a genome-wide association study in 6 population-based cohorts.</t>
  </si>
  <si>
    <t>Dehghan</t>
  </si>
  <si>
    <t>Novel loci, including those related to Crohn disease, psoriasis, and inflammation, identified in a genome-wide association study of fibrinogen in 17 686 women: the Women's Genome Health Study.</t>
  </si>
  <si>
    <t>Danik</t>
  </si>
  <si>
    <t>Novel associations of CPS1, MUT, NOX4, and DPEP1 with plasma homocysteine in a healthy population: a genome-wide evaluation of 13 974 participants in the Women's Genome Health Study.</t>
  </si>
  <si>
    <t>Pare</t>
  </si>
  <si>
    <t>COL4A1 is associated with arterial stiffness by genome-wide association scan.</t>
  </si>
  <si>
    <t>Tarasov</t>
  </si>
  <si>
    <t>Comprehensive whole-genome and candidate gene analysis for response to statin therapy in the Treating to New Targets (TNT) cohort.</t>
  </si>
  <si>
    <t>Thompson</t>
  </si>
  <si>
    <t>Nan H</t>
  </si>
  <si>
    <t>J Invest Dermatol</t>
  </si>
  <si>
    <t>Genome-wide association study of tanning phenotype in a population of European ancestry.</t>
  </si>
  <si>
    <t>Tanning ability</t>
  </si>
  <si>
    <t>Meta-analysis of genome-wide scans for human adult stature identifies novel Loci and associations with measures of skeletal frame size.</t>
  </si>
  <si>
    <t>Yamada Y</t>
  </si>
  <si>
    <t>Atherosclerosis</t>
  </si>
  <si>
    <t>Identification of CELSR1 as a susceptibility gene for ischemic stroke in Japanese individuals by a genome-wide association study.</t>
  </si>
  <si>
    <t>Kamatani Y</t>
  </si>
  <si>
    <t>A genome-wide association study identifies variants in the HLA-DP locus associated with chronic hepatitis B in Asians.</t>
  </si>
  <si>
    <t>179 Japanese cases, 934 Japanese controls</t>
  </si>
  <si>
    <t>Chronic hepatitis B</t>
  </si>
  <si>
    <t>Esparza-Gordillo J</t>
  </si>
  <si>
    <t>A common variant on chromosome 11q13 is associated with atopic dermatitis.</t>
  </si>
  <si>
    <t>Atopic dermatitis</t>
  </si>
  <si>
    <t>Mangino M</t>
  </si>
  <si>
    <t>A genome-wide association study identifies a novel locus on chromosome 18q12.2 influencing white cell telomere length.</t>
  </si>
  <si>
    <t>Telomere length</t>
  </si>
  <si>
    <t>Gene expression in cortex in Alzheimer's disease and controls</t>
  </si>
  <si>
    <t>Hiura Y</t>
  </si>
  <si>
    <t>Circ J</t>
  </si>
  <si>
    <t>Identification of genetic markers associated with high-density lipoprotein-cholesterol by genome-wide screening in a Japanese population: the Suita study.</t>
  </si>
  <si>
    <t>900 Japanese individuals</t>
  </si>
  <si>
    <t>HDL cholesterol</t>
  </si>
  <si>
    <t>A genome screen of successful aging without cognitive decline identifies LRP1B by haplotype analysis.</t>
  </si>
  <si>
    <t>Cognitive decline</t>
  </si>
  <si>
    <t>Ikram MA</t>
  </si>
  <si>
    <t>Genomewide association studies of stroke.</t>
  </si>
  <si>
    <t>Cho YS</t>
  </si>
  <si>
    <t>A large-scale genome-wide association study of Asian populations uncovers genetic factors influencing eight quantitative traits.</t>
  </si>
  <si>
    <t>Wang K</t>
  </si>
  <si>
    <t>Common genetic variants on 5p14.1 associate with autism spectrum disorders.</t>
  </si>
  <si>
    <t>Autism spectrum disorders</t>
  </si>
  <si>
    <t>Confirmation of multiple risk Loci and genetic impacts by a genome-wide association study of type 2 diabetes in the Japanese population.</t>
  </si>
  <si>
    <t>519 Japanese cases, 503 Japanese controls</t>
  </si>
  <si>
    <t>Hallmayer J</t>
  </si>
  <si>
    <t>Narcolepsy is strongly associated with the T-cell receptor alpha locus.</t>
  </si>
  <si>
    <t>Capasso M</t>
  </si>
  <si>
    <t>Common variations in BARD1 influence susceptibility to high-risk neuroblastoma.</t>
  </si>
  <si>
    <t>Huang YT</t>
  </si>
  <si>
    <t>Johnson AD</t>
  </si>
  <si>
    <t>Genome-wide association meta-analysis for total serum bilirubin levels.</t>
  </si>
  <si>
    <t>Genome-wide association and meta-analysis of bipolar disorder in individuals of European ancestry.</t>
  </si>
  <si>
    <t>Common variants in the SLCO1B3 locus are associated with bilirubin levels and unconjugated hyperbilirubinemia.</t>
  </si>
  <si>
    <t>Yang HC</t>
  </si>
  <si>
    <t>Genome-wide association study of young-onset hypertension in the Han Chinese population of Taiwan.</t>
  </si>
  <si>
    <t>175 Han Chinese cases, 175 Han Chinese controls</t>
  </si>
  <si>
    <t>833 Han Chinese cases, 833 Han Chinese controls</t>
  </si>
  <si>
    <t>Blood pressure, early onset hypertension</t>
  </si>
  <si>
    <t>Himes BE</t>
  </si>
  <si>
    <t>Genome-wide association analysis identifies PDE4D as an asthma-susceptibility gene.</t>
  </si>
  <si>
    <t>Rich SS</t>
  </si>
  <si>
    <t>Diabetologia</t>
  </si>
  <si>
    <t>A genome-wide association scan for acute insulin response to glucose in Hispanic-Americans: the Insulin Resistance Atherosclerosis Family Study (IRAS FS).</t>
  </si>
  <si>
    <t>Insulin response</t>
  </si>
  <si>
    <t>Genome-wide association study of blood pressure and hypertension.</t>
  </si>
  <si>
    <t>Genome-wide association study and meta-analysis find that over 40 loci affect risk of type 1 diabetes.</t>
  </si>
  <si>
    <t>Multiple loci associated with indices of renal function and chronic kidney disease.</t>
  </si>
  <si>
    <t>Affymetrix &amp; Illumina [~2.5 million] (imputed)</t>
  </si>
  <si>
    <t>Chronic kidney disease (CKD)</t>
  </si>
  <si>
    <t>Genome-wide association study identifies eight loci associated with blood pressure.</t>
  </si>
  <si>
    <t>Fei Y</t>
  </si>
  <si>
    <t>Arthritis Res Ther</t>
  </si>
  <si>
    <t>Identification of novel genetic susceptibility loci for Behçet's disease using a genome-wide association study.</t>
  </si>
  <si>
    <t>Behcet's disease</t>
  </si>
  <si>
    <t>Loci at chromosomes 13, 19 and 20 influence age at natural menopause.</t>
  </si>
  <si>
    <t>Age at natural menopause</t>
  </si>
  <si>
    <t>Genome-wide association study identifies sequence variants on 6q21 associated with age at menarche.</t>
  </si>
  <si>
    <t>Perlis RH</t>
  </si>
  <si>
    <t>Am J Psychiatry</t>
  </si>
  <si>
    <t>A genomewide association study of response to lithium for prevention of recurrence in bipolar disorder.</t>
  </si>
  <si>
    <t>Affymetrix [~1.4 million] (imputed)</t>
  </si>
  <si>
    <t>Response to lithium treatment in bipolar disorder</t>
  </si>
  <si>
    <t>Perry JR</t>
  </si>
  <si>
    <t>Meta-analysis of genome-wide association data identifies two loci influencing age at menarche.</t>
  </si>
  <si>
    <t>He C</t>
  </si>
  <si>
    <t>Genome-wide association studies identify loci associated with age at menarche and age at natural menopause.</t>
  </si>
  <si>
    <t>Ong KK</t>
  </si>
  <si>
    <t>Genetic variation in LIN28B is associated with the timing of puberty.</t>
  </si>
  <si>
    <t>Landers JE</t>
  </si>
  <si>
    <t>Reduced expression of the Kinesin-Associated Protein 3 (KIFAP3) gene increases survival in sporadic amyotrophic lateral sclerosis.</t>
  </si>
  <si>
    <t>Arnett DK</t>
  </si>
  <si>
    <t>Genome-wide association study identifies single-nucleotide polymorphism in KCNB1 associated with left ventricular mass in humans: the HyperGEN Study.</t>
  </si>
  <si>
    <t>Left ventricular mass</t>
  </si>
  <si>
    <t>Hirschfield GM</t>
  </si>
  <si>
    <t>Primary biliary cirrhosis associated with HLA, IL12A, and IL12RB2 variants.</t>
  </si>
  <si>
    <t>Primary biliary cirrhosis</t>
  </si>
  <si>
    <t>Hepatic;Inflammation</t>
  </si>
  <si>
    <t>Norris JM</t>
  </si>
  <si>
    <t>Genome-wide association study and follow-up analysis of adiposity traits in Hispanic Americans: the IRAS Family Study.</t>
  </si>
  <si>
    <t>Adiposity traits</t>
  </si>
  <si>
    <t>Jallow M</t>
  </si>
  <si>
    <t>Genome-wide and fine-resolution association analysis of malaria in West Africa.</t>
  </si>
  <si>
    <t>Malaria</t>
  </si>
  <si>
    <t>Infection;Blood-related</t>
  </si>
  <si>
    <t>Ma D</t>
  </si>
  <si>
    <t>Ann Hum Genet</t>
  </si>
  <si>
    <t>A genome-wide association study of autism reveals a common novel risk locus at 5p14.1.</t>
  </si>
  <si>
    <t>Aston KI</t>
  </si>
  <si>
    <t>J Androl</t>
  </si>
  <si>
    <t>Genome-wide study of single-nucleotide polymorphisms associated with azoospermia and severe oligozoospermia.</t>
  </si>
  <si>
    <t>Azoospermia and oligozoospermia</t>
  </si>
  <si>
    <t>Ng CC</t>
  </si>
  <si>
    <t>A genome-wide association study identifies ITGA9 conferring risk of nasopharyngeal carcinoma.</t>
  </si>
  <si>
    <t>111 Chinese cases, 260 Chinese controls</t>
  </si>
  <si>
    <t>168 Chinese cases, 252 Chinese controls</t>
  </si>
  <si>
    <t>Nasopharyngeal carcinoma</t>
  </si>
  <si>
    <t>Rapley EA</t>
  </si>
  <si>
    <t>A genome-wide association study of testicular germ cell tumor.</t>
  </si>
  <si>
    <t>Testicular germ cell carcinoma</t>
  </si>
  <si>
    <t>Kanetsky PA</t>
  </si>
  <si>
    <t>Common variation in KITLG and at 5q31.3 predisposes to testicular germ cell cancer.</t>
  </si>
  <si>
    <t>Daly AK</t>
  </si>
  <si>
    <t>HLA-B*5701 genotype is a major determinant of drug-induced liver injury due to flucloxacillin.</t>
  </si>
  <si>
    <t>Drug-induced liver injury with flucloxacillin treatment</t>
  </si>
  <si>
    <t>Smith EN</t>
  </si>
  <si>
    <t>Genome-wide association study of bipolar disorder in European American and African American individuals.</t>
  </si>
  <si>
    <t>Kolz M</t>
  </si>
  <si>
    <t>Meta-analysis of 28,141 individuals identifies common variants within five new loci that influence uric acid concentrations.</t>
  </si>
  <si>
    <t>Elmore JR</t>
  </si>
  <si>
    <t>J Vasc Surg</t>
  </si>
  <si>
    <t>Identification of a genetic variant associated with abdominal aortic aneurysms on chromosome 3p12.3 by genome wide association.</t>
  </si>
  <si>
    <t>Abdominal aortic aneurysm</t>
  </si>
  <si>
    <t>Gregersen PK</t>
  </si>
  <si>
    <t>REL, encoding a member of the NF-kappaB family of transcription factors, is a newly defined risk locus for rheumatoid arthritis.</t>
  </si>
  <si>
    <t>Zhai G</t>
  </si>
  <si>
    <t>A genome-wide association study suggests that a locus within the ataxin 2 binding protein 1 gene is associated with hand osteoarthritis: the Treat-OA consortium.</t>
  </si>
  <si>
    <t>Hum Reprod</t>
  </si>
  <si>
    <t>Genome-wide association study in premature ovarian failure patients suggests ADAMTS19 as a possible candidate gene.</t>
  </si>
  <si>
    <t>Mälarstig A</t>
  </si>
  <si>
    <t>Identification of ZNF366 and PTPRD as novel determinants of plasma homocysteine in a family-based genome-wide association study.</t>
  </si>
  <si>
    <t>De Jager PL</t>
  </si>
  <si>
    <t>Meta-analysis of genome scans and replication identify CD6, IRF8 and TNFRSF1A as new multiple sclerosis susceptibility loci.</t>
  </si>
  <si>
    <t>Affymetrix &amp; Illumina [~2.56 million] (imputed)</t>
  </si>
  <si>
    <t>Genome-wide association study identifies new multiple sclerosis susceptibility loci on chromosomes 12 and 20.</t>
  </si>
  <si>
    <t>Australia and New Zealand Multiple Sclerosis Genetics Consortium (ANZgene).</t>
  </si>
  <si>
    <t>Song H</t>
  </si>
  <si>
    <t>Ovarian cancer</t>
  </si>
  <si>
    <t>Diskin SJ</t>
  </si>
  <si>
    <t>Cotsapas C</t>
  </si>
  <si>
    <t>Common body mass index-associated variants confer risk of extreme obesity.</t>
  </si>
  <si>
    <t>Obesity, extreme</t>
  </si>
  <si>
    <t>Lindgren CM</t>
  </si>
  <si>
    <t>Genome-wide association scan meta-analysis identifies three Loci influencing adiposity and fat distribution.</t>
  </si>
  <si>
    <t>Heard-Costa NL</t>
  </si>
  <si>
    <t>NRXN3 is a novel locus for waist circumference: a genome-wide association study from the CHARGE Consortium.</t>
  </si>
  <si>
    <t>Sequence variants in the CLDN14 gene associate with kidney stones and bone mineral density.</t>
  </si>
  <si>
    <t>Kidney stone disease</t>
  </si>
  <si>
    <t>Elliott P</t>
  </si>
  <si>
    <t>Genetic Loci associated with C-reactive protein levels and risk of coronary heart disease.</t>
  </si>
  <si>
    <t>Affymetrix, Illumina &amp; Perlegen [~1.4 million] (imputed)</t>
  </si>
  <si>
    <t>Estrada K</t>
  </si>
  <si>
    <t>A genome-wide association study of northwestern Europeans involves the C-type natriuretic peptide signaling pathway in the etiology of human height variation.</t>
  </si>
  <si>
    <t>Common variants conferring risk of schizophrenia.</t>
  </si>
  <si>
    <t>Purcell SM</t>
  </si>
  <si>
    <t>Common polygenic variation contributes to risk of schizophrenia and bipolar disorder.</t>
  </si>
  <si>
    <t>Treutlein J</t>
  </si>
  <si>
    <t>Genome-wide association study of alcohol dependence.</t>
  </si>
  <si>
    <t>Alcohol dependence</t>
  </si>
  <si>
    <t>Hamshere ML</t>
  </si>
  <si>
    <t>Bipolar disorder, schizoaffective</t>
  </si>
  <si>
    <t>Shi J</t>
  </si>
  <si>
    <t>Common variants on chromosome 6p22.1 are associated with schizophrenia.</t>
  </si>
  <si>
    <t>Teichert M</t>
  </si>
  <si>
    <t>A genome-wide association study of acenocoumarol maintenance dosage.</t>
  </si>
  <si>
    <t>Bishop DT</t>
  </si>
  <si>
    <t>Genome-wide association study identifies three loci associated with melanoma risk.</t>
  </si>
  <si>
    <t>Falchi M</t>
  </si>
  <si>
    <t>Genome-wide association study identifies variants at 9p21 and 22q13 associated with development of cutaneous nevi.</t>
  </si>
  <si>
    <t>Wrensch M</t>
  </si>
  <si>
    <t>Variants in the CDKN2B and RTEL1 regions are associated with high-grade glioma susceptibility.</t>
  </si>
  <si>
    <t>Glioma</t>
  </si>
  <si>
    <t>Shete S</t>
  </si>
  <si>
    <t>Genome-wide association study identifies five susceptibility loci for glioma.</t>
  </si>
  <si>
    <t>Genetic variants associated with cardiac structure and function: a meta-analysis and replication of genome-wide association data.</t>
  </si>
  <si>
    <t>Association of FTO variants with BMI and fat mass in the self-contained population of Sorbs in Germany.</t>
  </si>
  <si>
    <t>948 Sorbian individuals</t>
  </si>
  <si>
    <t>TA njes A</t>
  </si>
  <si>
    <t>Common genetic variation near the phospholamban gene is associated with cardiac repolarisation: meta-analysis of three genome-wide association studies.</t>
  </si>
  <si>
    <t>A sequence variant in ZFHX3 on 16q22 associates with atrial fibrillation and ischemic stroke.</t>
  </si>
  <si>
    <t>Variants in ZFHX3 are associated with atrial fibrillation in individuals of European ancestry.</t>
  </si>
  <si>
    <t>Atrial fibrillation</t>
  </si>
  <si>
    <t>Adeyemo A</t>
  </si>
  <si>
    <t>A genome-wide association study of hypertension and blood pressure in African Americans.</t>
  </si>
  <si>
    <t>509 African American cases, 508 African American controls</t>
  </si>
  <si>
    <t>366 West African cases, 614 West African controls</t>
  </si>
  <si>
    <t>Skibola CF</t>
  </si>
  <si>
    <t>Genetic variants at 6p21.33 are associated with susceptibility to follicular lymphoma.</t>
  </si>
  <si>
    <t>Nakano M</t>
  </si>
  <si>
    <t>Three susceptible loci associated with primary open-angle glaucoma identified by genome-wide association study in a Japanese population.</t>
  </si>
  <si>
    <t>418 Japanese cases, 300 Japanese controls</t>
  </si>
  <si>
    <t>409 Japanese cases, 448 Japanese controls</t>
  </si>
  <si>
    <t>Osteoporosis</t>
  </si>
  <si>
    <t>Dimas</t>
  </si>
  <si>
    <t>Genome-wide scan of 500,000 single-nucleotide polymorphisms among responders and nonresponders to interferon beta therapy in multiple sclerosis.</t>
  </si>
  <si>
    <t>A genome-wide association scan of RR and QT interval duration in 3 European genetically isolated populations: the EUROSPAN project.</t>
  </si>
  <si>
    <t>Marroni</t>
  </si>
  <si>
    <t>Genome-wide association scan identifies variants near Matrix Metalloproteinase (MMP) genes on chromosome 11q21-22 strongly associated with serum MMP-1 levels.</t>
  </si>
  <si>
    <t>778 Old Order Amish individuals</t>
  </si>
  <si>
    <t>Cheng</t>
  </si>
  <si>
    <t>Amundadottir L</t>
  </si>
  <si>
    <t>Genome-wide association study identifies variants in the ABO locus associated with susceptibility to pancreatic cancer.</t>
  </si>
  <si>
    <t>Pancreatic cancer</t>
  </si>
  <si>
    <t>A genome-wide association study identifies a new ovarian cancer susceptibility locus on 9p22.2.</t>
  </si>
  <si>
    <t>Wu X</t>
  </si>
  <si>
    <t>Genetic variation in the prostate stem cell antigen gene PSCA confers susceptibility to urinary bladder cancer.</t>
  </si>
  <si>
    <t>Bladder cancer</t>
  </si>
  <si>
    <t>J Pediatr</t>
  </si>
  <si>
    <t>A genome-wide association study identifies a locus for nonsyndromic cleft lip with or without cleft palate on 8q24.</t>
  </si>
  <si>
    <t>Common genetic variation near melatonin receptor MTNR1B contributes to raised plasma glucose and increased risk of type 2 diabetes among Indian Asians and European Caucasians.</t>
  </si>
  <si>
    <t>Deciphering the impact of common genetic variation on lung cancer risk: a genome-wide association study.</t>
  </si>
  <si>
    <t>Grundberg</t>
  </si>
  <si>
    <t>Gene expression in osteoblasts</t>
  </si>
  <si>
    <t>Tse KP</t>
  </si>
  <si>
    <t>Genome-wide association study reveals multiple nasopharyngeal carcinoma-associated loci within the HLA region at chromosome 6p21.3.</t>
  </si>
  <si>
    <t>277 Han Chinese cases, 285 Han Chinese controls</t>
  </si>
  <si>
    <t>Hippocampal atrophy as a quantitative trait in a genome-wide association study identifying novel susceptibility genes for Alzheimer's disease.</t>
  </si>
  <si>
    <t>Alkelai A</t>
  </si>
  <si>
    <t>Psychopharmacology (Berl)</t>
  </si>
  <si>
    <t>Genome-wide association study of antipsychotic-induced parkinsonism severity among schizophrenia patients.</t>
  </si>
  <si>
    <t>Kwan</t>
  </si>
  <si>
    <t>Genetic variation in IL28B predicts hepatitis C treatment-induced viral clearance.</t>
  </si>
  <si>
    <t>Ge</t>
  </si>
  <si>
    <t>Germline genomic variants associated with childhood acute lymphoblastic leukemia.</t>
  </si>
  <si>
    <t>Trevino</t>
  </si>
  <si>
    <t>Papaemmanuil E</t>
  </si>
  <si>
    <t>Loci on 7p12.2, 10q21.2 and 14q11.2 are associated with risk of childhood acute lymphoblastic leukemia.</t>
  </si>
  <si>
    <t>404 European pediatric cases, 960 European pediatric controls</t>
  </si>
  <si>
    <t>Functional variants in ADH1B and ALDH2 coupled with alcohol and smoking synergistically enhance esophageal cancer risk.</t>
  </si>
  <si>
    <t>188 Japanese cases, 938 Japanese controls</t>
  </si>
  <si>
    <t>Cui</t>
  </si>
  <si>
    <t>Association of cytochrome P450 2C19 genotype with the antiplatelet effect and clinical efficacy of clopidogrel therapy.</t>
  </si>
  <si>
    <t>429 Amish individuals</t>
  </si>
  <si>
    <t>Shuldiner</t>
  </si>
  <si>
    <t>Genome-wide association study implicates chromosome 9q21.31 as a susceptibility locus for asthma in mexican children.</t>
  </si>
  <si>
    <t>Hancock</t>
  </si>
  <si>
    <t>Powerful bivariate genome-wide association analyses suggest the SOX6 gene influencing both obesity and osteoporosis phenotypes in males.</t>
  </si>
  <si>
    <t>Genome-wide association study of suicidal ideation emerging during citalopram treatment of depressed outpatients.</t>
  </si>
  <si>
    <t>Laje</t>
  </si>
  <si>
    <t>Suicidal ideation with citalopram treatment</t>
  </si>
  <si>
    <t>Drug response;Neuro;Behavioral;Depression</t>
  </si>
  <si>
    <t>Colorectal cancer risk is not associated with increased levels of homozygosity in a population from the United Kingdom.</t>
  </si>
  <si>
    <t>Spain</t>
  </si>
  <si>
    <t>A genomewide association study points to multiple loci that predict antidepressant drug treatment outcome in depression.</t>
  </si>
  <si>
    <t>339 German individuals</t>
  </si>
  <si>
    <t>Ising</t>
  </si>
  <si>
    <t>Drug response;Neuro;Depression</t>
  </si>
  <si>
    <t>Genome-wide pharmacogenomic analysis of response to treatment with antipsychotics.</t>
  </si>
  <si>
    <t>McClay</t>
  </si>
  <si>
    <t>Med Sci Sports Exerc</t>
  </si>
  <si>
    <t>Genome-wide association study of exercise behavior in Dutch and American adults.</t>
  </si>
  <si>
    <t>De Moor</t>
  </si>
  <si>
    <t>Exercise participation</t>
  </si>
  <si>
    <t>Genetic variation in GPR133 is associated with height: genome wide association study in the self-contained population of Sorbs.</t>
  </si>
  <si>
    <t>Tonjes</t>
  </si>
  <si>
    <t>Genome-wide association identifies the ABO blood group as a major locus associated with serum levels of soluble E-selectin.</t>
  </si>
  <si>
    <t>Paterson</t>
  </si>
  <si>
    <t>A genome-wide study of common SNPs and CNVs in cognitive performance in the CANTAB.</t>
  </si>
  <si>
    <t>Need</t>
  </si>
  <si>
    <t>Cognitive performance</t>
  </si>
  <si>
    <t>Genetic variant near IRS1 is associated with type 2 diabetes, insulin resistance and hyperinsulinemia.</t>
  </si>
  <si>
    <t>679 French cases, 697 French controls</t>
  </si>
  <si>
    <t>Rung</t>
  </si>
  <si>
    <t>Genome-wide association study identifies 19p13.3 (UNC13A) and 9p21.2 as susceptibility loci for sporadic amyotrophic lateral sclerosis.</t>
  </si>
  <si>
    <t>Genome-wide association study identifies variants at CLU and PICALM associated with Alzheimer's disease.</t>
  </si>
  <si>
    <t>Harold</t>
  </si>
  <si>
    <t>Genome-wide association study identifies variants at CLU and CR1 associated with Alzheimer's disease.</t>
  </si>
  <si>
    <t>Lambert</t>
  </si>
  <si>
    <t>Genome-wide association reveals three SNPs associated with sporadic amyotrophic lateral sclerosis through a two-locus analysis.</t>
  </si>
  <si>
    <t>Sha</t>
  </si>
  <si>
    <t>J Alzheimers Dis</t>
  </si>
  <si>
    <t>IL28B is associated with response to chronic hepatitis C interferon-alpha and ribavirin therapy.</t>
  </si>
  <si>
    <t>261 European responders, 294 European non-responders</t>
  </si>
  <si>
    <t>Suppiah</t>
  </si>
  <si>
    <t>Drug response;Infection;Hepatitis;Hepatic</t>
  </si>
  <si>
    <t>Genome-wide association of IL28B with response to pegylated interferon-alpha and ribavirin therapy for chronic hepatitis C.</t>
  </si>
  <si>
    <t>72 Japanese responders, 82 Japanese non-responders</t>
  </si>
  <si>
    <t>122 Japanese responders, 50 Japanese non-responders</t>
  </si>
  <si>
    <t>Tanaka</t>
  </si>
  <si>
    <t>Genomewide association study of a rapid progression cohort identifies new susceptibility alleles for AIDS (ANRS Genomewide Association Study 03).</t>
  </si>
  <si>
    <t>Le Clerc</t>
  </si>
  <si>
    <t>Identification of seven new prostate cancer susceptibility loci through a genome-wide association study.</t>
  </si>
  <si>
    <t>Genome-wide association and replication studies identify four variants associated with prostate cancer susceptibility.</t>
  </si>
  <si>
    <t>Genomewide association study for onset age in Parkinson disease.</t>
  </si>
  <si>
    <t>747 Italian idiopathic cases</t>
  </si>
  <si>
    <t>Latourelle</t>
  </si>
  <si>
    <t>Parkinson's disease, age at onset</t>
  </si>
  <si>
    <t>A genome-wide association analysis identified a novel susceptible locus for pathological myopia at 11q24.1.</t>
  </si>
  <si>
    <t>297 Japanese cases, 934 Japanese controls</t>
  </si>
  <si>
    <t>533 Japanese cases, 977 Japanese controls</t>
  </si>
  <si>
    <t>Nakanishi</t>
  </si>
  <si>
    <t>Myopia, pathological</t>
  </si>
  <si>
    <t>Eye-related;Developmental</t>
  </si>
  <si>
    <t>First genome-wide association scan on neurophysiological endophenotypes points to trans-regulation effects on SLC2A3 in dyslexic children.</t>
  </si>
  <si>
    <t>200 dyslexic German children</t>
  </si>
  <si>
    <t>186 dyslexic German children</t>
  </si>
  <si>
    <t>Roeske</t>
  </si>
  <si>
    <t>Dyslexia</t>
  </si>
  <si>
    <t>Neuro;Cognition;Developmental</t>
  </si>
  <si>
    <t>Genetic determinants of circulating sphingolipid concentrations in European populations.</t>
  </si>
  <si>
    <t>Hicks</t>
  </si>
  <si>
    <t>Twenty bone-mineral-density loci identified by large-scale meta-analysis of genome-wide association studies.</t>
  </si>
  <si>
    <t>Rivadeneira</t>
  </si>
  <si>
    <t>A genome-wide linkage and association scan reveals novel loci for autism.</t>
  </si>
  <si>
    <t>Weiss</t>
  </si>
  <si>
    <t>Common variants in TMPRSS6 are associated with iron status and erythrocyte volume.</t>
  </si>
  <si>
    <t>Benyamin</t>
  </si>
  <si>
    <t>Hemoglobin levels</t>
  </si>
  <si>
    <t>A genome-wide meta-analysis identifies 22 loci associated with eight hematological parameters in the HaemGen consortium.</t>
  </si>
  <si>
    <t>Soranzo</t>
  </si>
  <si>
    <t>Genome-wide association study identifies variants in TMPRSS6 associated with hemoglobin levels.</t>
  </si>
  <si>
    <t>Chambers</t>
  </si>
  <si>
    <t>Multiple loci influence erythrocyte phenotypes in the CHARGE Consortium.</t>
  </si>
  <si>
    <t>Ganesh</t>
  </si>
  <si>
    <t>A genome-wide association study of lung cancer identifies a region of chromosome 5p15 associated with risk for adenocarcinoma.</t>
  </si>
  <si>
    <t>Landi</t>
  </si>
  <si>
    <t>Genome-wide association study in a Chinese Han population identifies nine new susceptibility loci for systemic lupus erythematosus.</t>
  </si>
  <si>
    <t>Han</t>
  </si>
  <si>
    <t>Biol Psychiatry</t>
  </si>
  <si>
    <t>A genomewide association study of citalopram response in major depressive disorder.</t>
  </si>
  <si>
    <t>Garriock</t>
  </si>
  <si>
    <t>Neurobiol Dis</t>
  </si>
  <si>
    <t>Common CYP7A1 promoter polymorphism associated with risk of neuromyelitis optica.</t>
  </si>
  <si>
    <t>53 Korean cases, 240 Korean controls</t>
  </si>
  <si>
    <t>40 Korean cases</t>
  </si>
  <si>
    <t>Kim</t>
  </si>
  <si>
    <t>Inflammatory demyelinating disease</t>
  </si>
  <si>
    <t>Linkage and genome-wide association analysis of obesity-related phenotypes: association of weight with the MGAT1 gene.</t>
  </si>
  <si>
    <t>Johansson</t>
  </si>
  <si>
    <t>Am J Hematol</t>
  </si>
  <si>
    <t>Genetic modifiers of the severity of sickle cell anemia identified through a genome-wide association study.</t>
  </si>
  <si>
    <t>Sebastiani</t>
  </si>
  <si>
    <t>Blood-related;Sickle cell anemia;Anemia</t>
  </si>
  <si>
    <t>Genomewide association study of movement-related adverse antipsychotic effects.</t>
  </si>
  <si>
    <t>Aberg</t>
  </si>
  <si>
    <t>J Bone Miner Res</t>
  </si>
  <si>
    <t>IL21R and PTH may underlie variation of femoral neck bone mineral density as revealed by a genome-wide association study.</t>
  </si>
  <si>
    <t>Guo</t>
  </si>
  <si>
    <t>A genome-wide association study identifies a novel major locus for glycemic control in type 1 diabetes, as measured by both A1C and glucose.</t>
  </si>
  <si>
    <t>A genome-wide association analysis of serum iron concentrations.</t>
  </si>
  <si>
    <t>Diabet Med</t>
  </si>
  <si>
    <t>Genome-wide SNP genotyping study using pooled DNA to identify candidate markers mediating susceptibility to end-stage renal disease attributed to Type 1 diabetes.</t>
  </si>
  <si>
    <t>Craig</t>
  </si>
  <si>
    <t>End-stage renal disease</t>
  </si>
  <si>
    <t>Renal;Mortality</t>
  </si>
  <si>
    <t>Common variants in the trichohyalin gene are associated with straight hair in Europeans.</t>
  </si>
  <si>
    <t>Illumina [~1 million] (imputed)</t>
  </si>
  <si>
    <t>Medland</t>
  </si>
  <si>
    <t>Hair morphology</t>
  </si>
  <si>
    <t>Genome-wide association study of generalized vitiligo in an isolated European founder population identifies SMOC2, in close proximity to IDDM8.</t>
  </si>
  <si>
    <t>32 Romanian cases, 44 Romanian controls</t>
  </si>
  <si>
    <t>Birlea</t>
  </si>
  <si>
    <t>Vitiligo, generalized</t>
  </si>
  <si>
    <t>Identification of 15 loci influencing height in a Korean population.</t>
  </si>
  <si>
    <t>A genome-wide association study identifies GLT6D1 as a susceptibility locus for periodontitis.</t>
  </si>
  <si>
    <t>283 German cases, 972 German controls</t>
  </si>
  <si>
    <t>602 Dutch cases, 577 Dutch controls</t>
  </si>
  <si>
    <t>Schaefer</t>
  </si>
  <si>
    <t>Periodontitis</t>
  </si>
  <si>
    <t>J Allergy Clin Immunol</t>
  </si>
  <si>
    <t>A genome-wide association study on African-ancestry populations for asthma.</t>
  </si>
  <si>
    <t>Mathias</t>
  </si>
  <si>
    <t>Candidate loci for insulin sensitivity and disposition index from a genome-wide association analysis of Hispanic participants in the Insulin Resistance Atherosclerosis (IRAS) Family Study.</t>
  </si>
  <si>
    <t>Palmer</t>
  </si>
  <si>
    <t>A genome-wide association study identifies multiple loci associated with mathematics ability and disability.</t>
  </si>
  <si>
    <t>Docherty</t>
  </si>
  <si>
    <t>Genome-wide association study of ulcerative colitis identifies three new susceptibility loci, including the HNF4A region.</t>
  </si>
  <si>
    <t>Barrett</t>
  </si>
  <si>
    <t>A genome-wide association study identifies three new susceptibility loci for ulcerative colitis in the Japanese population.</t>
  </si>
  <si>
    <t>376 Japanese cases, 934 Japanese controls</t>
  </si>
  <si>
    <t>Asano</t>
  </si>
  <si>
    <t>Common variants at five new loci associated with early-onset inflammatory bowel disease.</t>
  </si>
  <si>
    <t>Imielinski</t>
  </si>
  <si>
    <t>Genome-wide association study reveals genetic risk underlying Parkinson's disease.</t>
  </si>
  <si>
    <t>Simon-Sanchez</t>
  </si>
  <si>
    <t>Genome-wide association study identifies common variants at four loci as genetic risk factors for Parkinson's disease.</t>
  </si>
  <si>
    <t>Satake</t>
  </si>
  <si>
    <t>Nuinoon</t>
  </si>
  <si>
    <t>Blood-related</t>
  </si>
  <si>
    <t>Genome-wide association analysis in primary sclerosing cholangitis.</t>
  </si>
  <si>
    <t>285 Norwegian cases, 298 Norwegian controls</t>
  </si>
  <si>
    <t>Karlsen</t>
  </si>
  <si>
    <t>Primary sclerosing cholangitis</t>
  </si>
  <si>
    <t>HLA-DPB1 and DPB2 are genetic loci for systemic sclerosis: a genome-wide association study in Koreans with replication in North Americans.</t>
  </si>
  <si>
    <t>133 Korean cases, 557 Korean controls</t>
  </si>
  <si>
    <t>Zhou</t>
  </si>
  <si>
    <t>Systemic sclerosis</t>
  </si>
  <si>
    <t>Skin-related;Muscle-related</t>
  </si>
  <si>
    <t>Clear detection of ADIPOQ locus as the major gene for plasma adiponectin: results of genome-wide association analyses including 4659 European individuals.</t>
  </si>
  <si>
    <t>A genome-wide association study reveals variants in ARL15 that influence adiponectin levels.</t>
  </si>
  <si>
    <t>Affymetrix &amp; Illumina [~2.2 million] (imputed)</t>
  </si>
  <si>
    <t>Richards</t>
  </si>
  <si>
    <t>The imprinted DLK1-MEG3 gene region on chromosome 14q32.2 alters susceptibility to type 1 diabetes.</t>
  </si>
  <si>
    <t>A pooling-based genome-wide analysis identifies new potential candidate genes for atopy in the European Community Respiratory Health Survey (ECRHS).</t>
  </si>
  <si>
    <t>75 European atopy and asthma cases, 75 European atopy only cases, 75 European controls</t>
  </si>
  <si>
    <t>429 European atopy cases, 222 European controls</t>
  </si>
  <si>
    <t>Castro-Giner</t>
  </si>
  <si>
    <t>Atopy</t>
  </si>
  <si>
    <t>Allergy;Inflammation</t>
  </si>
  <si>
    <t>Idaghdour</t>
  </si>
  <si>
    <t>Genome-wide association study for femoral neck bone geometry.</t>
  </si>
  <si>
    <t>Zhao</t>
  </si>
  <si>
    <t>A genome-wide association study of social and non-social autistic-like traits in the general population using pooled DNA, 500 K SNP microarrays and both community and diagnosed autism replication samples.</t>
  </si>
  <si>
    <t>Up to 870 European boys (low and high extremes)</t>
  </si>
  <si>
    <t>Ronald</t>
  </si>
  <si>
    <t>Autism like traits</t>
  </si>
  <si>
    <t>Genome-wide association study identifies five loci associated with lung function.</t>
  </si>
  <si>
    <t>Repapi</t>
  </si>
  <si>
    <t>Meta-analyses of genome-wide association studies identify multiple loci associated with pulmonary function.</t>
  </si>
  <si>
    <t>Genomewide association study of leprosy.</t>
  </si>
  <si>
    <t>Zhang</t>
  </si>
  <si>
    <t>Leprosy</t>
  </si>
  <si>
    <t>Infection;Skin-related</t>
  </si>
  <si>
    <t>Genome-wide association study identifies two susceptibility loci for nonsyndromic cleft lip with or without cleft palate.</t>
  </si>
  <si>
    <t>Mangold</t>
  </si>
  <si>
    <t>Variants of DENND1B associated with asthma in children.</t>
  </si>
  <si>
    <t>Sleiman</t>
  </si>
  <si>
    <t>Common genetic variation and the control of HIV-1 in humans.</t>
  </si>
  <si>
    <t>A genome-wide perspective of genetic variation in human metabolism.</t>
  </si>
  <si>
    <t>422 European females</t>
  </si>
  <si>
    <t>Illig</t>
  </si>
  <si>
    <t>A genome-wide survey of human short-term memory.</t>
  </si>
  <si>
    <t>333 young Swiss individuals</t>
  </si>
  <si>
    <t>777 young European individuals, 922 elderly German individuals</t>
  </si>
  <si>
    <t>Novel loci for major depression identified by genome-wide association study of Sequenced Treatment Alternatives to Relieve Depression and meta-analysis of three studies.</t>
  </si>
  <si>
    <t>Shyn</t>
  </si>
  <si>
    <t>Genome-wide association studies of MRI-defined brain infarcts: meta-analysis from the CHARGE Consortium.</t>
  </si>
  <si>
    <t>Debette</t>
  </si>
  <si>
    <t>Brain infarcts, covert MRI-defined</t>
  </si>
  <si>
    <t>AIDS</t>
  </si>
  <si>
    <t>A genome-wide association study of carotid atherosclerosis in HIV-infected men.</t>
  </si>
  <si>
    <t>Shrestha</t>
  </si>
  <si>
    <t>Carotid atherosclerosis in HIV-infected men</t>
  </si>
  <si>
    <t>J Am Acad Child Adolesc Psychiatry</t>
  </si>
  <si>
    <t>A genome-wide association study of amygdala activation in youths with and without bipolar disorder.</t>
  </si>
  <si>
    <t>Genetic variation in IL28B is associated with chronic hepatitis C and treatment failure: a genome-wide association study.</t>
  </si>
  <si>
    <t>Rauch</t>
  </si>
  <si>
    <t>Hepatitis C infection</t>
  </si>
  <si>
    <t>A genome-wide association study identifies an osteoarthritis susceptibility locus on chromosome 7q22.</t>
  </si>
  <si>
    <t>Kerkhof</t>
  </si>
  <si>
    <t>Modeling of environmental effects in genome-wide association studies identifies SLC2A2 and HP as novel loci influencing serum cholesterol levels.</t>
  </si>
  <si>
    <t>656 Swedish individuals</t>
  </si>
  <si>
    <t>Igl</t>
  </si>
  <si>
    <t>Genome-wide association study identifies ALDH7A1 as a novel susceptibility gene for osteoporosis.</t>
  </si>
  <si>
    <t>350 Han Chinese cases, 350 Han Chinese controls</t>
  </si>
  <si>
    <t>Genome-wide association study of PR interval.</t>
  </si>
  <si>
    <t>Pfeufer</t>
  </si>
  <si>
    <t>Genetic variation in SCN10A influences cardiac conduction.</t>
  </si>
  <si>
    <t>Genome-wide association study of ankylosing spondylitis identifies non-MHC susceptibility loci.</t>
  </si>
  <si>
    <t>The Australo-Anglo-American Spondyloarthritis Consortium (TASC)</t>
  </si>
  <si>
    <t>Ankylosing spondylitis</t>
  </si>
  <si>
    <t>Several common variants modulate heart rate, PR interval and QRS duration.</t>
  </si>
  <si>
    <t>Holm</t>
  </si>
  <si>
    <t>Common variants at 2q37.3, 8q24.21, 15q21.3 and 16q24.1 influence chronic lymphocytic leukemia risk.</t>
  </si>
  <si>
    <t>Crowther-Swanepoel</t>
  </si>
  <si>
    <t>Herbeck</t>
  </si>
  <si>
    <t>A genome-wide association study identifies new loci for ACE activity: potential implications for response to ACE inhibitor.</t>
  </si>
  <si>
    <t>400 Han Chinese hypertensives</t>
  </si>
  <si>
    <t>623 Han Chinese hypertensives</t>
  </si>
  <si>
    <t>Chung</t>
  </si>
  <si>
    <t>A genome-wide association study for age-related hearing impairment in the Saami.</t>
  </si>
  <si>
    <t>347 Finnish Saami individuals</t>
  </si>
  <si>
    <t>Van Laer</t>
  </si>
  <si>
    <t>Neuro;Hearing;Aging</t>
  </si>
  <si>
    <t>Genome-wide association study confirms SNPs in SNCA and the MAPT region as common risk factors for Parkinson disease.</t>
  </si>
  <si>
    <t>Edwards</t>
  </si>
  <si>
    <t>Genetic variation in GIPR influences the glucose and insulin responses to an oral glucose challenge.</t>
  </si>
  <si>
    <t>Affymetrix &amp; Illumina [NR]</t>
  </si>
  <si>
    <t>Saxena</t>
  </si>
  <si>
    <t>Response to glucose and insulin</t>
  </si>
  <si>
    <t>New genetic loci implicated in fasting glucose homeostasis and their impact on type 2 diabetes risk.</t>
  </si>
  <si>
    <t>Dupuis</t>
  </si>
  <si>
    <t>Meta-analysis of genome-wide association data identifies a risk locus for major mood disorders on 3p21.1.</t>
  </si>
  <si>
    <t>Affymetrix, Illumina and Perlegen [~2.1 million] (imputed)</t>
  </si>
  <si>
    <t>McMahon</t>
  </si>
  <si>
    <t>Major mood disorder</t>
  </si>
  <si>
    <t>Association of JAG1 with bone mineral density and osteoporotic fractures: a genome-wide association study and follow-up replication studies.</t>
  </si>
  <si>
    <t>Kung</t>
  </si>
  <si>
    <t>Neuroimage</t>
  </si>
  <si>
    <t>Whole genome association study of brain-wide imaging phenotypes for identifying quantitative trait loci in MCI and AD: A study of the ADNI cohort.</t>
  </si>
  <si>
    <t>Shen</t>
  </si>
  <si>
    <t>Brain imaging phenotypes</t>
  </si>
  <si>
    <t>A genome-wide association study identifies pancreatic cancer susceptibility loci on chromosomes 13q22.1, 1q32.1 and 5p15.33.</t>
  </si>
  <si>
    <t>Petersen</t>
  </si>
  <si>
    <t>Genome-wide pleiotropy of osteoporosis-related phenotypes: the Framingham Study.</t>
  </si>
  <si>
    <t>Karasik</t>
  </si>
  <si>
    <t>Genome-wide association study of asthma identifies RAD50-IL13 and HLA-DR/DQ regions.</t>
  </si>
  <si>
    <t>Genome-wide association study of recurrent early-onset major depressive disorder.</t>
  </si>
  <si>
    <t>Shi</t>
  </si>
  <si>
    <t>Major depression, recurrent early onset</t>
  </si>
  <si>
    <t>Neuro;Depression;Developmental</t>
  </si>
  <si>
    <t>Common genetic variation and performance on standardized cognitive tests.</t>
  </si>
  <si>
    <t>Cirulli</t>
  </si>
  <si>
    <t>Common variants near TERC are associated with mean telomere length.</t>
  </si>
  <si>
    <t>Codd</t>
  </si>
  <si>
    <t>Genome-wide association study of hematological and biochemical traits in a Japanese population.</t>
  </si>
  <si>
    <t>Genome-wide association study identifies variants at the IL18-BCO2 locus associated with interleukin-18 levels.</t>
  </si>
  <si>
    <t>He</t>
  </si>
  <si>
    <t>Genome-wide association study in a high-risk isolate for multiple sclerosis reveals associated variants in STAT3 gene.</t>
  </si>
  <si>
    <t>68 Finnish cases, 136 Finnish controls</t>
  </si>
  <si>
    <t>Jakkula</t>
  </si>
  <si>
    <t>Genome-wide association study in Asian populations identifies variants in ETS1 and WDFY4 associated with systemic lupus erythematosus.</t>
  </si>
  <si>
    <t>Genome-wide association study of homocysteine levels in Filipinos provides evidence for CPS1 in women and a stronger MTHFR effect in young adults.</t>
  </si>
  <si>
    <t>Lange</t>
  </si>
  <si>
    <t>Common variants at 7p21 are associated with frontotemporal lobar degeneration with TDP-43 inclusions.</t>
  </si>
  <si>
    <t>Van Deerlin</t>
  </si>
  <si>
    <t>J Clin Endocrinol Metab</t>
  </si>
  <si>
    <t>Genome-wide association study of bone mineral density in premenopausal European-American women and replication in African-American women.</t>
  </si>
  <si>
    <t>669 related African American women</t>
  </si>
  <si>
    <t>Koller</t>
  </si>
  <si>
    <t>Voxelwise genome-wide association study (vGWAS).</t>
  </si>
  <si>
    <t>Stein</t>
  </si>
  <si>
    <t>Brain structure</t>
  </si>
  <si>
    <t>Large-scale genomic studies reveal central role of ABO in sP-selectin and sICAM-1 levels.</t>
  </si>
  <si>
    <t>Barbalic</t>
  </si>
  <si>
    <t>Common variations in PSMD3-CSF3 and PLCB4 are associated with neutrophil count.</t>
  </si>
  <si>
    <t>Okada</t>
  </si>
  <si>
    <t>A genome-wide association study identifies susceptibility variants for type 2 diabetes in Han Chinese.</t>
  </si>
  <si>
    <t>995 Han Chinese cases, 894 Han Chinese controls</t>
  </si>
  <si>
    <t>Tsai</t>
  </si>
  <si>
    <t>Common variants in KCNN3 are associated with lone atrial fibrillation.</t>
  </si>
  <si>
    <t>Ellinor</t>
  </si>
  <si>
    <t>Variants in FAM13A are associated with chronic obstructive pulmonary disease.</t>
  </si>
  <si>
    <t>Cho</t>
  </si>
  <si>
    <t>Genetic variants in ABO blood group region, plasma soluble E-selectin levels and risk of type 2 diabetes.</t>
  </si>
  <si>
    <t>Qi</t>
  </si>
  <si>
    <t>Genome-wide association study identifies polymorphisms in LEPR as determinants of plasma soluble leptin receptor levels.</t>
  </si>
  <si>
    <t>875 Cypriot adolescent males</t>
  </si>
  <si>
    <t>Sun</t>
  </si>
  <si>
    <t>J Psychiatr Res</t>
  </si>
  <si>
    <t>Gene variants associated with schizophrenia in a Norwegian genome-wide study are replicated in a large European cohort.</t>
  </si>
  <si>
    <t>Athanasiu</t>
  </si>
  <si>
    <t>Leuk Res</t>
  </si>
  <si>
    <t>Genome-wide association study of childhood acute lymphoblastic leukemia in Korea.</t>
  </si>
  <si>
    <t>45 Korean cases, 48 Korean controls</t>
  </si>
  <si>
    <t>A genome-wide association study in 19 633 Japanese subjects identified LHX3-QSOX2 and IGF1 as adult height loci.</t>
  </si>
  <si>
    <t>Genome-wide association study reveals multiple loci associated with primary tooth development during infancy.</t>
  </si>
  <si>
    <t>Pillas</t>
  </si>
  <si>
    <t>Multiple common variants for celiac disease influencing immune gene expression.</t>
  </si>
  <si>
    <t>Dubois</t>
  </si>
  <si>
    <t>Alcohol Clin Exp Res</t>
  </si>
  <si>
    <t>Genome-wide association study of alcohol dependence implicates a region on chromosome 11.</t>
  </si>
  <si>
    <t>Edenberg</t>
  </si>
  <si>
    <t>A genome-wide association study of alcohol dependence.</t>
  </si>
  <si>
    <t>Genomewide pharmacogenomic study of metabolic side effects to antipsychotic drugs.</t>
  </si>
  <si>
    <t>Adkins</t>
  </si>
  <si>
    <t>Metabolic side effects to antipsychotic drugs</t>
  </si>
  <si>
    <t>Common variants at 5q22 associate with pediatric eosinophilic esophagitis.</t>
  </si>
  <si>
    <t>Rothenberg</t>
  </si>
  <si>
    <t>Pediatric eosinophilic esophagitis</t>
  </si>
  <si>
    <t>Inflammation;Developmental</t>
  </si>
  <si>
    <t>C4BPB/C4BPA is a new susceptibility locus for venous thrombosis with unknown protein S-independent mechanism: results from genome-wide association and gene expression analyses followed by case-control studies.</t>
  </si>
  <si>
    <t>352 related Spanish individuals</t>
  </si>
  <si>
    <t>Buil</t>
  </si>
  <si>
    <t>Venous thrombosis</t>
  </si>
  <si>
    <t>A meta-analysis of genome-wide data from five European isolates reveals an association of COL22A1, SYT1, and GABRR2 with serum creatinine level.</t>
  </si>
  <si>
    <t>Pattaro</t>
  </si>
  <si>
    <t>Genome-wide association study for ulcerative colitis identifies risk loci at 7q22 and 22q13 (IL17REL).</t>
  </si>
  <si>
    <t>Genome-wide association identifies multiple ulcerative colitis susceptibility loci.</t>
  </si>
  <si>
    <t>McGovern</t>
  </si>
  <si>
    <t>Genome-wide association for smoking cessation success: participants in the Patch in Practice trial of nicotine replacement.</t>
  </si>
  <si>
    <t>Circulation</t>
  </si>
  <si>
    <t>Novel associations of multiple genetic loci with plasma levels of factor VII, factor VIII, and von Willebrand factor: The CHARGE (Cohorts for Heart and Aging Research in Genome Epidemiology) Consortium.</t>
  </si>
  <si>
    <t>Affymetrix &amp; Illumina [~2.6 million] (imputed)</t>
  </si>
  <si>
    <t>Smith</t>
  </si>
  <si>
    <t>Chemerin, a novel adipokine in the regulation of angiogenesis.</t>
  </si>
  <si>
    <t>Bozaoglu</t>
  </si>
  <si>
    <t>Common variants of large effect in F12, KNG1, and HRG are associated with activated partial thromboplastin time.</t>
  </si>
  <si>
    <t>Houlihan</t>
  </si>
  <si>
    <t>New sequence variants in HLA class II/III region associated with susceptibility to knee osteoarthritis identified by genome-wide association study.</t>
  </si>
  <si>
    <t>167 Japanese cases, 347 Japanese controls, 243 Spanish cases, 426 Spanish controls, 570 Greek cases, 645 Greek controls</t>
  </si>
  <si>
    <t>Nakajima</t>
  </si>
  <si>
    <t>A variant in LIN28B is associated with 2D:4D finger-length ratio, a putative retrospective biomarker of prenatal testosterone exposure.</t>
  </si>
  <si>
    <t>Second to fourth digit length ratio</t>
  </si>
  <si>
    <t>J Gerontol A Biol Sci Med Sci</t>
  </si>
  <si>
    <t>A meta-analysis of four genome-wide association studies of survival to age 90 years or older: the Cohorts for Heart and Aging Research in Genomic Epidemiology Consortium.</t>
  </si>
  <si>
    <t>Newman</t>
  </si>
  <si>
    <t>Longevity</t>
  </si>
  <si>
    <t>Lancet Oncol</t>
  </si>
  <si>
    <t>Genetic variants and risk of lung cancer in never smokers: a genome-wide association study.</t>
  </si>
  <si>
    <t>Lung cancer in never smokers</t>
  </si>
  <si>
    <t>A three-stage genome-wide association study of general cognitive ability: hunting the small effects.</t>
  </si>
  <si>
    <t>860 UK children, at least 1 SD above/below the mean</t>
  </si>
  <si>
    <t>Davis</t>
  </si>
  <si>
    <t>Genome-wide association of lipid-lowering response to statins in combined study populations.</t>
  </si>
  <si>
    <t>Barber</t>
  </si>
  <si>
    <t>Cancer Epidemiol Biomarkers Prev</t>
  </si>
  <si>
    <t>A genome-wide association study of prognosis in breast cancer.</t>
  </si>
  <si>
    <t>Azzato</t>
  </si>
  <si>
    <t>Breast cancer survival</t>
  </si>
  <si>
    <t>Genome-wide association study identifies GPC5 as a novel genetic locus protective against sudden cardiac arrest.</t>
  </si>
  <si>
    <t xml:space="preserve">Sudden cardiac arrest </t>
  </si>
  <si>
    <t>A sequence variant at 4p16.3 confers susceptibility to urinary bladder cancer.</t>
  </si>
  <si>
    <t>Kiemeney</t>
  </si>
  <si>
    <t>Meta-analysis of genome-wide association data of bipolar disorder and major depressive disorder.</t>
  </si>
  <si>
    <t>Genome-wide pharmacogenetics of antidepressant response in the GENDEP project.</t>
  </si>
  <si>
    <t>Uher</t>
  </si>
  <si>
    <t>Response to antidepressants</t>
  </si>
  <si>
    <t>Twin Res Hum Genet</t>
  </si>
  <si>
    <t>Genome-wide association study of height and body mass index in Australian twin families.</t>
  </si>
  <si>
    <t>Ophthalmology</t>
  </si>
  <si>
    <t>Genome-wide association study of normal tension glaucoma: common variants in SRBD1 and ELOVL5 contribute to disease susceptibility.</t>
  </si>
  <si>
    <t>305 Japanese cases, 355 Japanese controls</t>
  </si>
  <si>
    <t>The Normal Tension Glaucoma Genetic Study Group of Japan Glaucoma Society</t>
  </si>
  <si>
    <t>Eye-related;Glaucoma</t>
  </si>
  <si>
    <t>Genome-wide association study of intracranial aneurysm identifies three new risk loci.</t>
  </si>
  <si>
    <t>Yasuno</t>
  </si>
  <si>
    <t>Genome-wide association analysis of total cholesterol and high-density lipoprotein cholesterol levels using the Framingham heart study data.</t>
  </si>
  <si>
    <t>Ma</t>
  </si>
  <si>
    <t>Variants in ADCY5 and near CCNL1 are associated with fetal growth and birth weight.</t>
  </si>
  <si>
    <t>Affymetrix &amp; Illumina [~2.4 million] (imputed)</t>
  </si>
  <si>
    <t>Freathy</t>
  </si>
  <si>
    <t>Fetal growth and birth weight</t>
  </si>
  <si>
    <t>Weight;Developmental</t>
  </si>
  <si>
    <t>Genetic loci influencing kidney function and chronic kidney disease.</t>
  </si>
  <si>
    <t>Affymetrix, Illumina and Perlegen [~2.6 Million] (imputed)</t>
  </si>
  <si>
    <t>New loci associated with kidney function and chronic kidney disease.</t>
  </si>
  <si>
    <t>Kottgen</t>
  </si>
  <si>
    <t>Genome-wide association study of systemic sclerosis identifies CD247 as a new susceptibility locus.</t>
  </si>
  <si>
    <t>Radstake</t>
  </si>
  <si>
    <t>Genetic variants near TIMP3 and high-density lipoprotein-associated loci influence susceptibility to age-related macular degeneration.</t>
  </si>
  <si>
    <t>Chen</t>
  </si>
  <si>
    <t>Genome-wide association study of advanced age-related macular degeneration identifies a role of the hepatic lipase gene (LIPC).</t>
  </si>
  <si>
    <t>Neale</t>
  </si>
  <si>
    <t>Genome-wide association study of bipolar I disorder in the Han Chinese population.</t>
  </si>
  <si>
    <t>Lee</t>
  </si>
  <si>
    <t>Host determinants of HIV-1 control in African Americans.</t>
  </si>
  <si>
    <t>515 African American cases</t>
  </si>
  <si>
    <t>Pelak</t>
  </si>
  <si>
    <t>Genome-wide association identifies ATOH7 as a major gene determining human optic disc size.</t>
  </si>
  <si>
    <t>Illumina [~2.74 million] (imputed)</t>
  </si>
  <si>
    <t>MacGregor</t>
  </si>
  <si>
    <t>Optic nerve assessment</t>
  </si>
  <si>
    <t>Genome-wide association of anthropometric traits in African- and African-derived populations.</t>
  </si>
  <si>
    <t>Affymetrix [~2.9] million (imputed)</t>
  </si>
  <si>
    <t>Kang</t>
  </si>
  <si>
    <t>Genomic variation associated with mortality among adults of European and African ancestry with heart failure: the cohorts for heart and aging research in genomic epidemiology consortium.</t>
  </si>
  <si>
    <t>Affymetrix [~2.4 million] (imputed)</t>
  </si>
  <si>
    <t>Morrison</t>
  </si>
  <si>
    <t>Heart failure mortality among adults</t>
  </si>
  <si>
    <t>Variant of TYR and autoimmunity susceptibility loci in generalized vitiligo.</t>
  </si>
  <si>
    <t>Jin</t>
  </si>
  <si>
    <t>Two new Loci for body-weight regulation identified in a joint analysis of genome-wide association studies for early-onset extreme obesity in French and german study groups.</t>
  </si>
  <si>
    <t>Scherag</t>
  </si>
  <si>
    <t>Genome-wide association study of circulating vitamin D levels.</t>
  </si>
  <si>
    <t>Ahn</t>
  </si>
  <si>
    <t>Genetic variants at 2q24 are associated with susceptibility to type 2 diabetes.</t>
  </si>
  <si>
    <t>The Tobacco and Genetics Consortium</t>
  </si>
  <si>
    <t>Genome-wide meta-analyses identify multiple loci associated with smoking behavior.</t>
  </si>
  <si>
    <t>Affymetrix, Illumina and Perlegen [~2.5 million] (imputed)</t>
  </si>
  <si>
    <t>Sequence variants at CHRNB3-CHRNA6 and CYP2A6 affect smoking behavior.</t>
  </si>
  <si>
    <t>Thorgeirsson</t>
  </si>
  <si>
    <t>Meta-analysis and imputation refines the association of 15q25 with smoking quantity.</t>
  </si>
  <si>
    <t>Affymetrix &amp; Illumina [NR] (imputed)</t>
  </si>
  <si>
    <t>Genome-wide association identifies candidate genes that influence the human electroencephalogram.</t>
  </si>
  <si>
    <t>322 Plains American Indian individuals</t>
  </si>
  <si>
    <t>185 European Americans</t>
  </si>
  <si>
    <t>Hodgkinson</t>
  </si>
  <si>
    <t>Genome-wide association identifies OBFC1 as a locus involved in human leukocyte telomere biology.</t>
  </si>
  <si>
    <t>Genome-wide association study of Lp-PLA(2) activity and mass in the Framingham Heart Study.</t>
  </si>
  <si>
    <t>Suchindran</t>
  </si>
  <si>
    <t>Lp-PLA2 activity and mass</t>
  </si>
  <si>
    <t>A genome-wide association study of cleft lip with and without cleft palate identifies risk variants near MAFB and ABCA4.</t>
  </si>
  <si>
    <t>Beaty</t>
  </si>
  <si>
    <t>Cleft lip, with or without cleft palate</t>
  </si>
  <si>
    <t>Genome-wide association study identifies variants at CSF1, OPTN and TNFRSF11A as genetic risk factors for Paget's disease of bone.</t>
  </si>
  <si>
    <t>Albagha</t>
  </si>
  <si>
    <t>Paget's disease of bone</t>
  </si>
  <si>
    <t>Bone-related</t>
  </si>
  <si>
    <t>Association of genome-wide variation with the risk of incident heart failure in adults of European and African ancestry: a prospective meta-analysis from the cohorts for heart and aging research in genomic epidemiology (CHARGE) consortium.</t>
  </si>
  <si>
    <t>Heart failure (incident risk)</t>
  </si>
  <si>
    <t>J Affect Disord</t>
  </si>
  <si>
    <t>A genome-wide association study of bipolar disorder in Norwegian individuals, followed by replication in Icelandic sample.</t>
  </si>
  <si>
    <t>194 Norwegian bipolar cases, 230 Norwegian schizophrenic cases, 336 Norwegian controls</t>
  </si>
  <si>
    <t>Djurovic</t>
  </si>
  <si>
    <t>Neurobiol Aging</t>
  </si>
  <si>
    <t>Alzheimer disease pathology in cognitively healthy elderly: A genome-wide study.</t>
  </si>
  <si>
    <t>Kramer</t>
  </si>
  <si>
    <t>Genome-wide association study identifies five new breast cancer susceptibility loci.</t>
  </si>
  <si>
    <t>Turnbull</t>
  </si>
  <si>
    <t>Variants within the immunoregulatory CBLB gene are associated with multiple sclerosis.</t>
  </si>
  <si>
    <t>882 Sardinian cases, 872 Sardinian controls</t>
  </si>
  <si>
    <t>A regulatory variant in CCR6 is associated with rheumatoid arthritis susceptibility.</t>
  </si>
  <si>
    <t>Kochi</t>
  </si>
  <si>
    <t>Genome-wide association study meta-analysis identifies seven new rheumatoid arthritis risk loci.</t>
  </si>
  <si>
    <t>Stahl</t>
  </si>
  <si>
    <t>Genome-wide association study identifies a susceptibility locus for biliary atresia on 10q24.2.</t>
  </si>
  <si>
    <t>200 Chinese cases, 481 Chinese controls</t>
  </si>
  <si>
    <t>124 Chinese cases, 90 Chinese controls</t>
  </si>
  <si>
    <t>Garcia-Barcelo</t>
  </si>
  <si>
    <t>Biliary atresia</t>
  </si>
  <si>
    <t>Genome-wide analysis of genetic loci associated with Alzheimer disease.</t>
  </si>
  <si>
    <t>Common genetic variants near the Brittle Cornea Syndrome locus ZNF469 influence the blinding disease risk factor central corneal thickness.</t>
  </si>
  <si>
    <t>Illumina [~2.4 million] (pooled)</t>
  </si>
  <si>
    <t>Lu</t>
  </si>
  <si>
    <t>Digital quantification of human eye color highlights genetic association of three new loci.</t>
  </si>
  <si>
    <t>Eye color</t>
  </si>
  <si>
    <t>Pancreatology</t>
  </si>
  <si>
    <t>Pooling-based genome-wide association study implicates gamma-glutamyltransferase 1 (GGT1) gene in pancreatic carcinogenesis.</t>
  </si>
  <si>
    <t>Diergaarde</t>
  </si>
  <si>
    <t>A genome-wide association study of nasopharyngeal carcinoma identifies three new susceptibility loci.</t>
  </si>
  <si>
    <t>Bei</t>
  </si>
  <si>
    <t>Genome-wide examination of genetic variants associated with response to platinum-based chemotherapy in patients with small-cell lung cancer.</t>
  </si>
  <si>
    <t>245 Chinese Han cases</t>
  </si>
  <si>
    <t>183 Chinese Han cases</t>
  </si>
  <si>
    <t>Wu</t>
  </si>
  <si>
    <t>Drug response;Cancer;Lung cancer;Pulmonary</t>
  </si>
  <si>
    <t>Genome-wide association study of major recurrent depression in the U.K. population.</t>
  </si>
  <si>
    <t>Lewis</t>
  </si>
  <si>
    <t>Major depression, recurrent</t>
  </si>
  <si>
    <t>Psychiatr Genet</t>
  </si>
  <si>
    <t>Genome-wide association study identifies genes that may contribute to risk for developing heroin addiction.</t>
  </si>
  <si>
    <t>Nielsen</t>
  </si>
  <si>
    <t>Heroin addiction vulnerability</t>
  </si>
  <si>
    <t>Genome-wide association study for vitiligo identifies susceptibility loci at 6q27 and the MHC.</t>
  </si>
  <si>
    <t>Quan</t>
  </si>
  <si>
    <t>Vitiligo</t>
  </si>
  <si>
    <t>Genome-wide meta-analyses identifies seven loci associated with platelet aggregation in response to agonists.</t>
  </si>
  <si>
    <t>Up to 840 African American individuals</t>
  </si>
  <si>
    <t>Affymetrix &amp; Illumina [~2.33 million] (imputed)</t>
  </si>
  <si>
    <t>Platelet aggregation</t>
  </si>
  <si>
    <t>A genome-wide association study of bipolar disorder and comorbid migraine.</t>
  </si>
  <si>
    <t>755 European American bipolar individuals</t>
  </si>
  <si>
    <t>455 Norwegian ADHD cases</t>
  </si>
  <si>
    <t>Oedegaard</t>
  </si>
  <si>
    <t>Bipolar disorder, affective</t>
  </si>
  <si>
    <t>Genetic regulation of serum phytosterol levels and risk of coronary artery disease.</t>
  </si>
  <si>
    <t>Teupser</t>
  </si>
  <si>
    <t>Candidate genes for non-diabetic ESRD in African Americans: a genome-wide association study using pooled DNA.</t>
  </si>
  <si>
    <t>464 African American cases, 478 African American controls</t>
  </si>
  <si>
    <t>336 African American cases, 363 African American controls</t>
  </si>
  <si>
    <t>Bostrom</t>
  </si>
  <si>
    <t>Common genetic determinants of vitamin D insufficiency: a genome-wide association study.</t>
  </si>
  <si>
    <t>Wang</t>
  </si>
  <si>
    <t>Vitamin D concentrations</t>
  </si>
  <si>
    <t>An integration of genome-wide association study and gene expression profiling to prioritize the discovery of novel susceptibility Loci for osteoporosis-related traits.</t>
  </si>
  <si>
    <t>Hsu</t>
  </si>
  <si>
    <t>A genome-wide association study of optic disc parameters.</t>
  </si>
  <si>
    <t>Ramdas</t>
  </si>
  <si>
    <t>Optic disc parameters</t>
  </si>
  <si>
    <t>Variants near DMRT1, TERT and ATF7IP are associated with testicular germ cell cancer.</t>
  </si>
  <si>
    <t>J Am Soc Nephrol</t>
  </si>
  <si>
    <t>Common genetic variants associate with serum phosphorus concentration.</t>
  </si>
  <si>
    <t>Kestenbaum</t>
  </si>
  <si>
    <t>Natural selection on EPAS1 (HIF2alpha) associated with low hemoglobin concentration in Tibetan highlanders.</t>
  </si>
  <si>
    <t>35 Tibetans</t>
  </si>
  <si>
    <t>161 Tibetans</t>
  </si>
  <si>
    <t>Beall</t>
  </si>
  <si>
    <t>Hemoglobin concentration</t>
  </si>
  <si>
    <t>Brain</t>
  </si>
  <si>
    <t>Common genetic variation and susceptibility to partial epilepsies: a genome-wide association study.</t>
  </si>
  <si>
    <t>Kasperaviciute</t>
  </si>
  <si>
    <t>Identification of a functional genetic variant at 16q12.1 for breast cancer risk: results from the Asia Breast Cancer Consortium.</t>
  </si>
  <si>
    <t>Long</t>
  </si>
  <si>
    <t>Breast cancer risk</t>
  </si>
  <si>
    <t>Engelman</t>
  </si>
  <si>
    <t>Twelve type 2 diabetes susceptibility loci identified through large-scale association analysis.</t>
  </si>
  <si>
    <t>Voight</t>
  </si>
  <si>
    <t>Fucosyltransferase 2 (FUT2) non-secretor status is associated with Crohn's disease.</t>
  </si>
  <si>
    <t>Genome-wide association study of conduct disorder symptomatology.</t>
  </si>
  <si>
    <t>Dick</t>
  </si>
  <si>
    <t>Conduct Disorder</t>
  </si>
  <si>
    <t>J Neuroimmunol</t>
  </si>
  <si>
    <t>Evidence for VAV2 and ZNF433 as susceptibility genes for multiple sclerosis.</t>
  </si>
  <si>
    <t>Nischwitz</t>
  </si>
  <si>
    <t>Genetic Signatures of Exceptional Longevity in Humans.</t>
  </si>
  <si>
    <t>Longevity, exceptional</t>
  </si>
  <si>
    <t>Genome-wide association study in alopecia areata implicates both innate and adaptive immunity.</t>
  </si>
  <si>
    <t>Petukhova</t>
  </si>
  <si>
    <t>Alopecia areata</t>
  </si>
  <si>
    <t>HLA has strongest association with IgA nephropathy in genome-wide analysis.</t>
  </si>
  <si>
    <t>Feehally</t>
  </si>
  <si>
    <t>Gibbs</t>
  </si>
  <si>
    <t>Zeller</t>
  </si>
  <si>
    <t>Gene expression in monocytes</t>
  </si>
  <si>
    <t>Web-based, participant-driven studies yield novel genetic associations for common traits.</t>
  </si>
  <si>
    <t>Eriksson</t>
  </si>
  <si>
    <t>Biological, clinical and population relevance of 95 loci for blood lipids.</t>
  </si>
  <si>
    <t>Affymetrix, Illumina &amp; Perlegen [~2.6 million] (imputed)</t>
  </si>
  <si>
    <t>Teslovich</t>
  </si>
  <si>
    <t>Genome-wide meta-analyses identify three loci associated with primary biliary cirrhosis.</t>
  </si>
  <si>
    <t>Genome-wide association study of follicular lymphoma identifies a risk locus at 6p21.32.</t>
  </si>
  <si>
    <t>Conde</t>
  </si>
  <si>
    <t>Genome-wide association study identifies a susceptibility locus at 21q21 for ventricular fibrillation in acute myocardial infarction.</t>
  </si>
  <si>
    <t>Up to 515 Dutch cases, 457 Dutch controls</t>
  </si>
  <si>
    <t>146 Dutch cases, 391 Dutch controls</t>
  </si>
  <si>
    <t>Bezzina</t>
  </si>
  <si>
    <t>Ventricular fibrillation in acute MI</t>
  </si>
  <si>
    <t>Genome-wide association study identifies a sequence variant within the DAB2IP gene conferring susceptibility to abdominal aortic aneurysm.</t>
  </si>
  <si>
    <t>Gretarsdottir</t>
  </si>
  <si>
    <t>Genome-wide association study identifies variants in the MHC class I, IL10, and IL23R-IL12RB2 regions associated with Behçet's disease.</t>
  </si>
  <si>
    <t>Remmers</t>
  </si>
  <si>
    <t>Genome-wide association studies identify IL23R-IL12RB2 and IL10 as Behçet's disease susceptibility loci.</t>
  </si>
  <si>
    <t>611 Japanese cases, 737 Japanese controls</t>
  </si>
  <si>
    <t>119 Korean cases, 140 Korean controls</t>
  </si>
  <si>
    <t>Mizuki</t>
  </si>
  <si>
    <t>A genome-wide association study identifies genetic variants in the CDKN2BAS locus associated with endometriosis in Japanese.</t>
  </si>
  <si>
    <t>Uno</t>
  </si>
  <si>
    <t>Endometriosis</t>
  </si>
  <si>
    <t>A genome-wide study identifies HLA alleles associated with lumiracoxib-related liver injury.</t>
  </si>
  <si>
    <t>Singer</t>
  </si>
  <si>
    <t>Lumiracoxib-related liver injury</t>
  </si>
  <si>
    <t>Genome-wide association study identifies five new susceptibility loci for prostate cancer in the Japanese population.</t>
  </si>
  <si>
    <t>Takata</t>
  </si>
  <si>
    <t>Genome-wide association study identifies 1p36.22 as a new susceptibility locus for hepatocellular carcinoma in chronic hepatitis B virus carriers.</t>
  </si>
  <si>
    <t>348 Chinese ancestry cases, 359 Chinese ancestry controls</t>
  </si>
  <si>
    <t>Corneveaux</t>
  </si>
  <si>
    <t>The perception of quinine taste intensity is associated with common genetic variants in a bitter receptor cluster on chromosome 12.</t>
  </si>
  <si>
    <t>Illumina [~2.3 million] (imputed)</t>
  </si>
  <si>
    <t>Reed</t>
  </si>
  <si>
    <t>Taste perception</t>
  </si>
  <si>
    <t>Oral-related;Diet-related</t>
  </si>
  <si>
    <t>A genome-wide scan for common alleles affecting risk for autism.</t>
  </si>
  <si>
    <t>Anney</t>
  </si>
  <si>
    <t>Genome-wide association analysis identifies multiple loci related to resting heart rate.</t>
  </si>
  <si>
    <t>Eijgelsheim</t>
  </si>
  <si>
    <t>Resting heart rate</t>
  </si>
  <si>
    <t>IRF4 variants have age-specific effects on nevus count and predispose to melanoma.</t>
  </si>
  <si>
    <t>Duffy</t>
  </si>
  <si>
    <t>Nevus count</t>
  </si>
  <si>
    <t>Association of variants at UMOD with chronic kidney disease and kidney stones-role of age and comorbid diseases.</t>
  </si>
  <si>
    <t>Genome-wide association study of pancreatic cancer in Japanese population.</t>
  </si>
  <si>
    <t>Low</t>
  </si>
  <si>
    <t>Mol Vis</t>
  </si>
  <si>
    <t>Single-nucleotide polymorphisms in chromosome 3p14.1- 3p14.2 are associated with susceptibility of type 2 diabetes with cataract.</t>
  </si>
  <si>
    <t>Lin</t>
  </si>
  <si>
    <t>Cataracts in T2D</t>
  </si>
  <si>
    <t>Am J Respir Crit Care Med</t>
  </si>
  <si>
    <t>Genome-wide Association Study Identifies BICD1 as a Susceptibility Gene for Emphysema.</t>
  </si>
  <si>
    <t>Genome-wide association study identifies variants associated with histologic features of nonalcoholic Fatty liver disease.</t>
  </si>
  <si>
    <t>Chalasani</t>
  </si>
  <si>
    <t>Hepatic</t>
  </si>
  <si>
    <t>Common variants in the calcium-sensing receptor gene are associated with total serum calcium levels.</t>
  </si>
  <si>
    <t>O'Seaghdha</t>
  </si>
  <si>
    <t>Tan</t>
  </si>
  <si>
    <t>Genome-wide association analyses identifies a susceptibility locus for tuberculosis on chromosome 18q11.2.</t>
  </si>
  <si>
    <t>Thye</t>
  </si>
  <si>
    <t>Tuberculosis</t>
  </si>
  <si>
    <t>Common genetic variation in the HLA region is associated with late-onset sporadic Parkinson's disease.</t>
  </si>
  <si>
    <t>Hamza</t>
  </si>
  <si>
    <t>Genome-wide association study identifies new HLA class II haplotypes strongly protective against narcolepsy.</t>
  </si>
  <si>
    <t>562 European cases, 954 European controls</t>
  </si>
  <si>
    <t>370 European cases, 495 European controls</t>
  </si>
  <si>
    <t>Hor</t>
  </si>
  <si>
    <t>A genome-wide association study identifies four susceptibility loci for keloid in the Japanese population.</t>
  </si>
  <si>
    <t>178 Japanese cases, 906 Japanese controls</t>
  </si>
  <si>
    <t>Nakashima</t>
  </si>
  <si>
    <t>Keloid</t>
  </si>
  <si>
    <t>Skin-related;Wound</t>
  </si>
  <si>
    <t>Genome-wide association study identifies variants in the CFH region associated with host susceptibility to meningococcal disease.</t>
  </si>
  <si>
    <t>514 Western European cases, 814 Western European controls, 415 Spanish cases, 537 Spanish controls</t>
  </si>
  <si>
    <t>Davila</t>
  </si>
  <si>
    <t>Meningococcal disease</t>
  </si>
  <si>
    <t>Infection;Neuro;Blood-related</t>
  </si>
  <si>
    <t>Association of IFIH1 and other autoimmunity risk alleles with selective IgA deficiency.</t>
  </si>
  <si>
    <t>256 Spanish cases, 322 Spanish controls, 86 Finnish cases, 564 Finnish controls</t>
  </si>
  <si>
    <t>Ferreira</t>
  </si>
  <si>
    <t>Family-based genome-wide association scan of attention-deficit/hyperactivity disorder.</t>
  </si>
  <si>
    <t>Mick</t>
  </si>
  <si>
    <t>Case-control genome-wide association study of attention-deficit/hyperactivity disorder.</t>
  </si>
  <si>
    <t>Biol Psychol</t>
  </si>
  <si>
    <t>A genome-wide association study of Cloninger's temperament scales: implications for the evolutionary genetics of personality.</t>
  </si>
  <si>
    <t>Verweij</t>
  </si>
  <si>
    <t>ITPA polymorphism affects ribavirin-induced anemia and outcomes of therapy--a genome-wide study of Japanese HCV virus patients.</t>
  </si>
  <si>
    <t>453 Japanese individuals</t>
  </si>
  <si>
    <t>470 Japanese individuals</t>
  </si>
  <si>
    <t>Ochi</t>
  </si>
  <si>
    <t>A genome-wide association study of neuroticism in a population-based sample.</t>
  </si>
  <si>
    <t>Calboli</t>
  </si>
  <si>
    <t>Carcinogenesis</t>
  </si>
  <si>
    <t>Genome-wide association study for colorectal cancer identifies risk polymorphisms in German familial cases and implicates MAPK signalling pathways in disease susceptibility.</t>
  </si>
  <si>
    <t>Lascorz</t>
  </si>
  <si>
    <t>J Atheroscler Thromb</t>
  </si>
  <si>
    <t>Identification of evidence suggestive of an association with peripheral arterial disease at the OSBPL10 locus by genome-wide investigation in the Japanese population.</t>
  </si>
  <si>
    <t>Koriyama</t>
  </si>
  <si>
    <t>Peripheral artery disease (PAD)</t>
  </si>
  <si>
    <t>Genome-wide association study to identify genetic variants present in Japanese patients harboring intracranial aneurysms.</t>
  </si>
  <si>
    <t>288 Japanese cases, 194 Japanese controls</t>
  </si>
  <si>
    <t>739 Japanese cases, 659 Japanese controls</t>
  </si>
  <si>
    <t>Akiyama</t>
  </si>
  <si>
    <t>Genome-wide meta-analysis for serum calcium identifies significantly associated SNPs near the calcium-sensing receptor (CASR) gene.</t>
  </si>
  <si>
    <t>Kapur</t>
  </si>
  <si>
    <t>Excess of rare variants in genes identified by genome-wide association study of hypertriglyceridemia.</t>
  </si>
  <si>
    <t>Affymetrix [~2.1 million] (imputed)</t>
  </si>
  <si>
    <t>Johansen</t>
  </si>
  <si>
    <t>Identification of candidate loci at 6p21 and 21q22 in a genome-wide association study of cardiac manifestations of neonatal lupus.</t>
  </si>
  <si>
    <t>Clancy</t>
  </si>
  <si>
    <t>Kidney Int</t>
  </si>
  <si>
    <t>A risk allele for focal segmental glomerulosclerosis in African Americans is located within a region containing APOL1 and MYH9.</t>
  </si>
  <si>
    <t>Genovese</t>
  </si>
  <si>
    <t>Glomerulosclerosis</t>
  </si>
  <si>
    <t>Renal;Blood-related</t>
  </si>
  <si>
    <t>Genome-wide association-, replication-, and neuroimaging study implicates HOMER1 in the etiology of major depression.</t>
  </si>
  <si>
    <t>409 German cases, 541 German controls</t>
  </si>
  <si>
    <t>Rietschel</t>
  </si>
  <si>
    <t>Genetic variants that affect length/height in infancy/early childhood in Vietnamese-Korean families.</t>
  </si>
  <si>
    <t>A genome-wide association study of self-rated health.</t>
  </si>
  <si>
    <t>Mosing</t>
  </si>
  <si>
    <t>Self-rated health</t>
  </si>
  <si>
    <t>Pediatr Hematol Oncol</t>
  </si>
  <si>
    <t>Association of genetic polymorphisms with hepatotoxicity in patients with childhood acute lymphoblastic leukemia or lymphoma.</t>
  </si>
  <si>
    <t>8 Japanese children</t>
  </si>
  <si>
    <t>16 Japanese children</t>
  </si>
  <si>
    <t>Horinouchi</t>
  </si>
  <si>
    <t>A genome-wide association study of the metabolic syndrome in Indian Asian men.</t>
  </si>
  <si>
    <t>Zabaneh</t>
  </si>
  <si>
    <t>Genome-wide association studies of serum magnesium, potassium, and sodium concentrations identify six Loci influencing serum magnesium levels.</t>
  </si>
  <si>
    <t>Meyer</t>
  </si>
  <si>
    <t>The 5p15.33 locus is associated with risk of lung adenocarcinoma in never-smoking females in Asia.</t>
  </si>
  <si>
    <t>Hsiung</t>
  </si>
  <si>
    <t>Haritunians</t>
  </si>
  <si>
    <t>Inflammation;Gastrointestinal;Ulcerative colitis</t>
  </si>
  <si>
    <t>Meta-analysis of genome-wide association scans for genetic susceptibility to endometriosis in Japanese population.</t>
  </si>
  <si>
    <t>696 Japanese cases, 825 Japanese controls</t>
  </si>
  <si>
    <t>Adachi</t>
  </si>
  <si>
    <t>Genome-wide association study of migraine implicates a common susceptibility variant on 8q22.1.</t>
  </si>
  <si>
    <t>Anttila (IHGC)</t>
  </si>
  <si>
    <t>Migraine</t>
  </si>
  <si>
    <t>Asthma-susceptibility variants identified using probands in case-control and family-based analyses.</t>
  </si>
  <si>
    <t>Himes</t>
  </si>
  <si>
    <t>A locus on 19p13 modifies risk of breast cancer in BRCA1 mutation carriers and is associated with hormone receptor-negative breast cancer in the general population.</t>
  </si>
  <si>
    <t>Antoniou</t>
  </si>
  <si>
    <t>Common variants at 19p13 are associated with susceptibility to ovarian cancer.</t>
  </si>
  <si>
    <t>Bolton</t>
  </si>
  <si>
    <t>A genome-wide association study identifies susceptibility loci for ovarian cancer at 2q31 and 8q24.</t>
  </si>
  <si>
    <t>Goode</t>
  </si>
  <si>
    <t>A genome-wide association study for myopia and refractive error identifies a susceptibility locus at 15q25.</t>
  </si>
  <si>
    <t>Illumina [~2.2 million] (imputed)</t>
  </si>
  <si>
    <t>Hysi</t>
  </si>
  <si>
    <t>Myopia and refractive errors</t>
  </si>
  <si>
    <t>A genome-wide association study identifies a susceptibility locus for refractive errors and myopia at 15q14.</t>
  </si>
  <si>
    <t>Solouki</t>
  </si>
  <si>
    <t>Common variants near CAV1 and CAV2 are associated with primary open-angle glaucoma.</t>
  </si>
  <si>
    <t>A genome-wide association study in the Japanese population identifies susceptibility loci for type 2 diabetes at UBE2E2 and C2CD4A-C2CD4B.</t>
  </si>
  <si>
    <t>Yamauchi</t>
  </si>
  <si>
    <t>Temporal lobe volumes</t>
  </si>
  <si>
    <t>Longitudinal genome-wide association of cardiovascular disease risk factors in the Bogalusa heart study.</t>
  </si>
  <si>
    <t>Genome-wide association study identifies genetic determinants of warfarin responsiveness for Japanese.</t>
  </si>
  <si>
    <t>807 low dose Japanese, 707 high dose Japanese</t>
  </si>
  <si>
    <t>Cha</t>
  </si>
  <si>
    <t>Warfarin responsiveness</t>
  </si>
  <si>
    <t>Genome-wide association study of schizophrenia in a Japanese population.</t>
  </si>
  <si>
    <t>560 Japanese cases, 548 Japanese controls</t>
  </si>
  <si>
    <t>Ikeda</t>
  </si>
  <si>
    <t>Savas</t>
  </si>
  <si>
    <t>A locus on chromosome 1p36 is associated with thyrotropin and thyroid function as identified by genome-wide association study.</t>
  </si>
  <si>
    <t>Panicker</t>
  </si>
  <si>
    <t>Genome-wide association for smoking cessation success in a trial of precessation nicotine replacement.</t>
  </si>
  <si>
    <t>Genome-wide association study with DNA pooling identifies variants at CNTNAP2 associated with pseudoexfoliation syndrome.</t>
  </si>
  <si>
    <t>160 German cases, 80 German subjects</t>
  </si>
  <si>
    <t>610 German cases, 364 German controls, 249 Italian cases, 190 Italian controls</t>
  </si>
  <si>
    <t>Krumbiegel</t>
  </si>
  <si>
    <t>Pseudoexfoliation syndrome</t>
  </si>
  <si>
    <t>Genetic variation influences glutamate concentrations in brains of patients with multiple sclerosis.</t>
  </si>
  <si>
    <t>Genome-wide association study identifies novel loci for plasma levels of protein C: the ARIC study.</t>
  </si>
  <si>
    <t>Tang</t>
  </si>
  <si>
    <t>Chromosome 9p21 in amyotrophic lateral sclerosis in Finland: a genome-wide association study.</t>
  </si>
  <si>
    <t>405 Finnish cases, 497 Finnish controls</t>
  </si>
  <si>
    <t>Laaksovirta</t>
  </si>
  <si>
    <t>Chromosome 9p21 in sporadic amyotrophic lateral sclerosis in the UK and seven other countries: a genome-wide association study.</t>
  </si>
  <si>
    <t>Shatunov</t>
  </si>
  <si>
    <t>Genome-wide association scan of trait depression.</t>
  </si>
  <si>
    <t>Affymetrix &amp; Illumina [up to 2.5 million] (imputed)</t>
  </si>
  <si>
    <t>Depressive affect</t>
  </si>
  <si>
    <t>Neuro;Behavioral;Depression</t>
  </si>
  <si>
    <t>Genome-wide association study of esophageal squamous cell carcinoma in Chinese subjects identifies susceptibility loci at PLCE1 and C20orf54.</t>
  </si>
  <si>
    <t>A shared susceptibility locus in PLCE1 at 10q23 for gastric adenocarcinoma and esophageal squamous cell carcinoma.</t>
  </si>
  <si>
    <t>Abnet</t>
  </si>
  <si>
    <t>Gastric adenocarcinoma and esophageal squamous cell carcinoma</t>
  </si>
  <si>
    <t>New loci associated with central cornea thickness include COL5A1, AKAP13 and AVGR8.</t>
  </si>
  <si>
    <t>Illumina [~2 million] (imputed)</t>
  </si>
  <si>
    <t>Vitart</t>
  </si>
  <si>
    <t>Central cornea thickness</t>
  </si>
  <si>
    <t>Harley</t>
  </si>
  <si>
    <t>Kariuki</t>
  </si>
  <si>
    <t>Trait-stratified genome-wide association study identifies novel and diverse genetic associations with serologic and cytokine phenotypes in systemic lupus erythematosus.</t>
  </si>
  <si>
    <t>20 African American cases, 36 European American cases, 32 Hispanic American cases, 16 Asian American cases, selected for extremes of serum IFN-alpha activity</t>
  </si>
  <si>
    <t>280 African American cases, 173 European American cases, 85 Hispanic American cases</t>
  </si>
  <si>
    <t>Seoighe</t>
  </si>
  <si>
    <t>Milet</t>
  </si>
  <si>
    <t>Malarial infection</t>
  </si>
  <si>
    <t>Inouye</t>
  </si>
  <si>
    <t>Gene expression in blood cells</t>
  </si>
  <si>
    <t>Murphy</t>
  </si>
  <si>
    <t>Gene expression in CD4+ lymphocytes</t>
  </si>
  <si>
    <t>Common variants at 10 genomic loci influence hemoglobin Aâ??(C) levels via glycemic and nonglycemic pathways.</t>
  </si>
  <si>
    <t>Identification of new genetic risk variants for type 2 diabetes.</t>
  </si>
  <si>
    <t>Shu</t>
  </si>
  <si>
    <t>Cross-disorder genomewide analysis of schizophrenia, bipolar disorder, and depression.</t>
  </si>
  <si>
    <t>Huang</t>
  </si>
  <si>
    <t>Variation in TP63 is associated with lung adenocarcinoma susceptibility in Japanese and Korean populations.</t>
  </si>
  <si>
    <t>Miki</t>
  </si>
  <si>
    <t>Hundreds of variants clustered in genomic loci and biological pathways affect human height.</t>
  </si>
  <si>
    <t>Lango Allen</t>
  </si>
  <si>
    <t>A genome-wide association study of hypertension-related phenotypes in a Japanese population.</t>
  </si>
  <si>
    <t>936 Japanese individuals</t>
  </si>
  <si>
    <t>Hiura</t>
  </si>
  <si>
    <t>A genome-wide association study reveals susceptibility variants for non-small cell lung cancer in the Korean population.</t>
  </si>
  <si>
    <t>Yoon</t>
  </si>
  <si>
    <t>Cancer;Lung cancer;Pulmonary</t>
  </si>
  <si>
    <t>J Clin Oncol</t>
  </si>
  <si>
    <t>Genome-wide associations and functional genomic studies of musculoskeletal adverse events in women receiving aromatase inhibitors.</t>
  </si>
  <si>
    <t>Ingle</t>
  </si>
  <si>
    <t>Drug response</t>
  </si>
  <si>
    <t>Adiponectin concentrations: a genome-wide association study.</t>
  </si>
  <si>
    <t>Jee</t>
  </si>
  <si>
    <t>Multiple genetic loci influence serum urate levels and their relationship with gout and cardiovascular disease risk factors.</t>
  </si>
  <si>
    <t>Genome Res</t>
  </si>
  <si>
    <t>Radiation pharmacogenomics: a genome-wide association approach to identify radiation response biomarkers using human lymphoblastoid cell lines.</t>
  </si>
  <si>
    <t>Niu</t>
  </si>
  <si>
    <t>Genome-wide association study of antipsychotic-induced QTc interval prolongation.</t>
  </si>
  <si>
    <t>BMC Neurol</t>
  </si>
  <si>
    <t>Genome-wide association reveals genetic effects on human AÎ²42 and Ï? protein levels in cerebrospinal fluids: a case control study.</t>
  </si>
  <si>
    <t>A genome-wide association study of red blood cell traits using the electronic medical record.</t>
  </si>
  <si>
    <t>Kullo</t>
  </si>
  <si>
    <t>Genome-wide association study for adiponectin levels in Filipino women identifies CDH13 and a novel uncommon haplotype at KNG1-ADIPOQ.</t>
  </si>
  <si>
    <t>Adiponectin levels in women</t>
  </si>
  <si>
    <t>The TCF7L2 diabetes risk variant is associated with HbAâ??(C) levels: a genome-wide association meta-analysis.</t>
  </si>
  <si>
    <t>Franklin</t>
  </si>
  <si>
    <t>E2-2 protein and Fuchs's corneal dystrophy.</t>
  </si>
  <si>
    <t>Baratz</t>
  </si>
  <si>
    <t>Fuch's corneal dystrophy</t>
  </si>
  <si>
    <t>Association analyses of 249,796 individuals reveal 18 new loci associated with body mass index.</t>
  </si>
  <si>
    <t>Affymetrix, Illumina and Perlegen [~2.8 million] (imputed)</t>
  </si>
  <si>
    <t>Speliotes</t>
  </si>
  <si>
    <t>Meta-analysis identifies 13 new loci associated with waist-hip ratio and reveals sexual dimorphism in the genetic basis of fat distribution.</t>
  </si>
  <si>
    <t>Genome-wide association study identifies a psoriasis susceptibility locus at TRAF3IP2.</t>
  </si>
  <si>
    <t>Ellinghaus</t>
  </si>
  <si>
    <t>A genome-wide association study identifies new psoriasis susceptibility loci and an interaction between HLA-C and ERAP1.</t>
  </si>
  <si>
    <t>Strange</t>
  </si>
  <si>
    <t>Common variants at TRAF3IP2 are associated with susceptibility to psoriatic arthritis and psoriasis.</t>
  </si>
  <si>
    <t>572 German cases, 888 German controls</t>
  </si>
  <si>
    <t>Huffmeier</t>
  </si>
  <si>
    <t>Skin-related;Arthritis</t>
  </si>
  <si>
    <t>Genome-wide association analysis identifies three psoriasis susceptibility loci.</t>
  </si>
  <si>
    <t>Stuart</t>
  </si>
  <si>
    <t>Genome-wide association study of increasing suicidal ideation during antidepressant treatment in the GENDEP project.</t>
  </si>
  <si>
    <t>Perroud</t>
  </si>
  <si>
    <t>A combined analysis of genome-wide association studies in breast cancer.</t>
  </si>
  <si>
    <t>Breast cancer meta</t>
  </si>
  <si>
    <t>Genes Immun</t>
  </si>
  <si>
    <t>Genome-wide association identifies SKIV2L and MYRIP as protective factors for age-related macular degeneration.</t>
  </si>
  <si>
    <t>Kopplin</t>
  </si>
  <si>
    <t>A large-scale, consortium-based genomewide association study of asthma.</t>
  </si>
  <si>
    <t>Dementia revealed: novel chromosome 6 locus for late-onset Alzheimer disease provides genetic evidence for folate-pathway abnormalities.</t>
  </si>
  <si>
    <t>Naj</t>
  </si>
  <si>
    <t>Genetic variants influencing circulating lipid levels and risk of coronary artery disease.</t>
  </si>
  <si>
    <t>Waterworth</t>
  </si>
  <si>
    <t>J Ophthalmol</t>
  </si>
  <si>
    <t>Identification of Diabetic Retinopathy Genes through a Genome-Wide Association Study among Mexican-Americans from Starr County, Texas.</t>
  </si>
  <si>
    <t>286 Mexican-American diabetics</t>
  </si>
  <si>
    <t>Fu</t>
  </si>
  <si>
    <t>Genome-wide association study of anthropometric traits and evidence of interactions with age and study year in Filipino women.</t>
  </si>
  <si>
    <t>Croteau-Chonka</t>
  </si>
  <si>
    <t>Meta-analysis of three genome-wide association studies identifies susceptibility loci for colorectal cancer at 1q41, 3q26.2, 12q13.13 and 20q13.33.</t>
  </si>
  <si>
    <t>Houlston</t>
  </si>
  <si>
    <t>Lanktree</t>
  </si>
  <si>
    <t>Genome-wide association study of blood pressure extremes identifies variant near UMOD associated with hypertension.</t>
  </si>
  <si>
    <t>Padmanabhan</t>
  </si>
  <si>
    <t>Genome-wide association study of theta band event-related oscillations identifies serotonin receptor gene HTR7 influencing risk of alcohol dependence.</t>
  </si>
  <si>
    <t>431 European American cases, 340 European American controls, 209 African American cases, 84 African American controls</t>
  </si>
  <si>
    <t>Zlojutro</t>
  </si>
  <si>
    <t>Dissection of the genetics of Parkinson's disease identifies an additional association 5' of SNCA and multiple associated haplotypes at 17q21.</t>
  </si>
  <si>
    <t>UK Parkinson's disease consortium</t>
  </si>
  <si>
    <t>PDE11A associations with asthma: results of a genome-wide association scan.</t>
  </si>
  <si>
    <t>Dewan</t>
  </si>
  <si>
    <t>PCSK6 is associated with handedness in individuals with dyslexia.</t>
  </si>
  <si>
    <t>Scerri</t>
  </si>
  <si>
    <t>Handedness</t>
  </si>
  <si>
    <t>Genome-wide association study of genetic predictors of anti-tumor necrosis factor treatment efficacy in rheumatoid arthritis identifies associations with polymorphisms at seven loci.</t>
  </si>
  <si>
    <t>Plant</t>
  </si>
  <si>
    <t>Eur Heart J</t>
  </si>
  <si>
    <t>Genome-wide association study identifies a new locus for coronary artery disease on chromosome 10p11.23.</t>
  </si>
  <si>
    <t>Erdmann</t>
  </si>
  <si>
    <t>Genome-wide association study confirms BST1 and suggests a locus on 12q24 as the risk loci for Parkinson's disease in the European population.</t>
  </si>
  <si>
    <t>Saad</t>
  </si>
  <si>
    <t>Int J Radiat Oncol Biol Phys</t>
  </si>
  <si>
    <t>Genome-wide association study to identify single nucleotide polymorphisms (SNPs) associated with the development of erectile dysfunction in African-American men after radiotherapy for prostate cancer.</t>
  </si>
  <si>
    <t>27 African American cases, 52 African American controls</t>
  </si>
  <si>
    <t>Kerns</t>
  </si>
  <si>
    <t>Erectile dysfunction</t>
  </si>
  <si>
    <t>Neuropsychopharmacology</t>
  </si>
  <si>
    <t>Genome-wide pharmacogenomic study of neurocognition as an indicator of antipsychotic treatment response in schizophrenia.</t>
  </si>
  <si>
    <t>Cognition with anti-psychotic treatment</t>
  </si>
  <si>
    <t>Drug response;Depression;Cognition</t>
  </si>
  <si>
    <t>A genetic variant near the PMAIP1/Noxa gene is associated with increased bleomycin sensitivity.</t>
  </si>
  <si>
    <t>Gu</t>
  </si>
  <si>
    <t>Sci China Life Sci</t>
  </si>
  <si>
    <t>A genome-wide association analysis implicates SOX6 as a candidate gene for wrist bone mass.</t>
  </si>
  <si>
    <t>Genome-wide meta-analysis increases to 71 the number of confirmed Crohn's disease susceptibility loci.</t>
  </si>
  <si>
    <t>Identification of novel candidate genes for Alzheimer's disease by autozygosity mapping using genome wide SNP data.</t>
  </si>
  <si>
    <t>Sherva</t>
  </si>
  <si>
    <t>Genome-wide association studies reveal genetic variants in CTNND2 for high myopia in Singapore Chinese.</t>
  </si>
  <si>
    <t>65 Chinese child cases, 238 Chinese child controls, 222 Chinese adult cases, 455 Chinese adult cases</t>
  </si>
  <si>
    <t>Myopia</t>
  </si>
  <si>
    <t>Genome-wide association with MRI atrophy measures as a quantitative trait locus for Alzheimer's disease.</t>
  </si>
  <si>
    <t>Furney</t>
  </si>
  <si>
    <t>A genome-wide association study on common SNPs and rare CNVs in anorexia nervosa.</t>
  </si>
  <si>
    <t>Anorexia nervosa</t>
  </si>
  <si>
    <t>Genome-wide association study of major depressive disorder: new results, meta-analysis, and lessons learned.</t>
  </si>
  <si>
    <t>Wray</t>
  </si>
  <si>
    <t>Perlis</t>
  </si>
  <si>
    <t>Association between prostaglandin E receptor 3 polymorphisms and Stevens-Johnson syndrome identified by means of a genome-wide association study.</t>
  </si>
  <si>
    <t>Ueta</t>
  </si>
  <si>
    <t>Stevens-Johnson syndrome</t>
  </si>
  <si>
    <t>Mov Disord</t>
  </si>
  <si>
    <t>Evidence for association of the GLI2 gene with tardive dyskinesia in patients with chronic schizophrenia.</t>
  </si>
  <si>
    <t>Greenbaum</t>
  </si>
  <si>
    <t>Tardive dyskinesia</t>
  </si>
  <si>
    <t>Neuro;Muscle-related;Movement-related</t>
  </si>
  <si>
    <t>Common variants in 22 loci are associated with QRS duration and cardiac ventricular conduction.</t>
  </si>
  <si>
    <t>Sotoodehnia</t>
  </si>
  <si>
    <t>A genome-wide association study of Hodgkin's lymphoma identifies new susceptibility loci at 2p16.1 (REL), 8q24.21 and 10p14 (GATA3).</t>
  </si>
  <si>
    <t>Enciso-Mora</t>
  </si>
  <si>
    <t>Schizophr Res</t>
  </si>
  <si>
    <t>A genome-wide meta-analysis identifies novel loci associated with schizophrenia and bipolar disorder.</t>
  </si>
  <si>
    <t>Bipolar disorder and schizophrenia</t>
  </si>
  <si>
    <t>ELF1 is associated with systemic lupus erythematosus in Asian populations.</t>
  </si>
  <si>
    <t>Common variants in DGKK are strongly associated with risk of hypospadias.</t>
  </si>
  <si>
    <t>van der Zanden</t>
  </si>
  <si>
    <t>Hypospadias</t>
  </si>
  <si>
    <t>SNPs on chromosome 5p15.3 associated with myocardial infarction in Japanese population.</t>
  </si>
  <si>
    <t>Aoki</t>
  </si>
  <si>
    <t>Vithana</t>
  </si>
  <si>
    <t>Thirty new loci for age at menarche identified by a meta-analysis of genome-wide association studies.</t>
  </si>
  <si>
    <t>Elks</t>
  </si>
  <si>
    <t>A genome-wide association study to identify genetic determinants of atopy in subjects from the United Kingdom.</t>
  </si>
  <si>
    <t>Wan</t>
  </si>
  <si>
    <t>Genome-wide screen identifies rs646776 near sortilin as a regulator of progranulin levels in human plasma.</t>
  </si>
  <si>
    <t>Identification of genomic predictors of atrioventricular conduction: using electronic medical records as a tool for genome science.</t>
  </si>
  <si>
    <t>Denny</t>
  </si>
  <si>
    <t>J Thorac Oncol</t>
  </si>
  <si>
    <t>Genome-wide association study on overall survival of advanced non-small cell lung cancer patients treated with carboplatin and paclitaxel.</t>
  </si>
  <si>
    <t>Sato</t>
  </si>
  <si>
    <t>Ann Rheum Dis</t>
  </si>
  <si>
    <t>Meta-analysis of genome-wide association studies confirms a susceptibility locus for knee osteoarthritis on chromosome 7q22.</t>
  </si>
  <si>
    <t>Evangelou</t>
  </si>
  <si>
    <t>Breast Cancer Res</t>
  </si>
  <si>
    <t>A genome-wide association scan on estrogen receptor-negative breast cancer.</t>
  </si>
  <si>
    <t>Arch Intern Med</t>
  </si>
  <si>
    <t>Familial defective apolipoprotein B-100 and increased low-density lipoprotein cholesterol and coronary artery calcification in the old order amish.</t>
  </si>
  <si>
    <t>841 Old Order Amish individuals</t>
  </si>
  <si>
    <t>Identification of novel loci for Alzheimer disease and replication of CLU, PICALM, and BIN1 in Caribbean Hispanic individuals.</t>
  </si>
  <si>
    <t>549 Caribbean Hispanic cases, 544 Caribbean Hispanic controls</t>
  </si>
  <si>
    <t>A genome-wide association study identifies RNF213 as the first Moyamoya disease gene.</t>
  </si>
  <si>
    <t>72 Japanese cases, 45 Japanese controls</t>
  </si>
  <si>
    <t>63 Japanese cases, 45 Japanese controls</t>
  </si>
  <si>
    <t>Kamada</t>
  </si>
  <si>
    <t>Moyamoya disease</t>
  </si>
  <si>
    <t>Neuro;Blood-related</t>
  </si>
  <si>
    <t>The major genetic determinants of HIV-1 control affect HLA class I peptide presentation.</t>
  </si>
  <si>
    <t>International HIV Controllers Study</t>
  </si>
  <si>
    <t>HIV-1 control and progression</t>
  </si>
  <si>
    <t>Genome-wide and follow-up studies identify CEP68 gene variants associated with risk of aspirin-intolerant asthma.</t>
  </si>
  <si>
    <t>80 Korean cases, 100 Korean controls</t>
  </si>
  <si>
    <t>163 Korean cases, 429 Korean controls</t>
  </si>
  <si>
    <t>Genome-wide association study of prostate cancer mortality.</t>
  </si>
  <si>
    <t>Penney</t>
  </si>
  <si>
    <t>Prostate cancer mortality</t>
  </si>
  <si>
    <t>A multi-stage genome-wide association study of bladder cancer identifies multiple susceptibility loci.</t>
  </si>
  <si>
    <t>Rothman</t>
  </si>
  <si>
    <t>Am J Respir Cell Mol Biol</t>
  </si>
  <si>
    <t>Genome-Wide Association Analysis of Body Mass in Chronic Obstructive Pulmonary Disease.</t>
  </si>
  <si>
    <t>Cachexia</t>
  </si>
  <si>
    <t>Four novel Loci (19q13, 6q24, 12q24, and 5q14) influence the microcirculation in vivo.</t>
  </si>
  <si>
    <t>Affymetrix &amp; Illumina [2.2 million] (imputed)</t>
  </si>
  <si>
    <t>Ikram</t>
  </si>
  <si>
    <t>Retinal vascular caliber</t>
  </si>
  <si>
    <t>Common genetic variants and modification of penetrance of BRCA2-associated breast cancer.</t>
  </si>
  <si>
    <t>Gaudet</t>
  </si>
  <si>
    <t>J Hand Surg Am</t>
  </si>
  <si>
    <t>Genome-wide association scan of Dupuytren's disease.</t>
  </si>
  <si>
    <t>Ojwang</t>
  </si>
  <si>
    <t>Dupuytren's disease</t>
  </si>
  <si>
    <t>Genome-wide association study identifies a novel susceptibility locus at 6p21.3 among familial CLL.</t>
  </si>
  <si>
    <t>Slager</t>
  </si>
  <si>
    <t>Genome-wide association meta-analysis of cortical bone mineral density unravels allelic heterogeneity at the RANKL locus and potential pleiotropic effects on bone.</t>
  </si>
  <si>
    <t>Paternoster</t>
  </si>
  <si>
    <t>Integrative genomics identifies LMO1 as a neuroblastoma oncogene.</t>
  </si>
  <si>
    <t>Neurology</t>
  </si>
  <si>
    <t>Genome-wide association study of CSF biomarkers Abeta1-42, t-tau, and p-tau181p in the ADNI cohort.</t>
  </si>
  <si>
    <t>Ding</t>
  </si>
  <si>
    <t>Gene expression in skin cells</t>
  </si>
  <si>
    <t>Padyukov</t>
  </si>
  <si>
    <t>Genome-wide association study identifies a locus at 7p15.2 associated with endometriosis.</t>
  </si>
  <si>
    <t>Painter</t>
  </si>
  <si>
    <t>Genome-wide association study identifies susceptibility loci for polycystic ovary syndrome on chromosome 2p16.3, 2p21 and 9q33.3.</t>
  </si>
  <si>
    <t>744 Han Chinese cases, 895 Han Chinese controls</t>
  </si>
  <si>
    <t>Polycystic ovary syndrome</t>
  </si>
  <si>
    <t>Genome-wide association study identifies HLA-A*3101 allele as a genetic risk factor for carbamazepine-induced cutaneous adverse drug reactions in Japanese population.</t>
  </si>
  <si>
    <t>54 Japanese cases, 882 Japanese controls</t>
  </si>
  <si>
    <t>16 Japanese cases, 44 Japanese controls</t>
  </si>
  <si>
    <t>Ozeki</t>
  </si>
  <si>
    <t>Carbamazepine ADRs</t>
  </si>
  <si>
    <t>Novel association to the proprotein convertase PCSK7 gene locus revealed by analysing soluble transferrin receptor (sTfR) levels.</t>
  </si>
  <si>
    <t>Oexle</t>
  </si>
  <si>
    <t>Genome-wide interrogation identifies YAP1 variants associated with survival of small-cell lung cancer patients.</t>
  </si>
  <si>
    <t>245 Han Chinese individuals with small-cell lung cancer</t>
  </si>
  <si>
    <t>305 Han Chinese individuals with small-cell lung cancer</t>
  </si>
  <si>
    <t>Lung cancer, small-cell</t>
  </si>
  <si>
    <t>Meta-analysis of genome-wide association studies for personality.</t>
  </si>
  <si>
    <t>Affymetrix, Illumina &amp; Perlegen [~2.5 million] (imputed)</t>
  </si>
  <si>
    <t>de Moor</t>
  </si>
  <si>
    <t>Theta band oscillations and alcohol dependence</t>
  </si>
  <si>
    <t>Autism Res</t>
  </si>
  <si>
    <t>Variants in several genomic regions associated with asperger disorder.</t>
  </si>
  <si>
    <t>Salyakina</t>
  </si>
  <si>
    <t>Asperger disorder</t>
  </si>
  <si>
    <t>Insights into the genetic architecture of osteoarthritis from stage 1 of the arcOGEN study.</t>
  </si>
  <si>
    <t>Panoutsopoulou</t>
  </si>
  <si>
    <t>Genomics meets glycomics-the first GWAS study of human N-Glycome identifies HNF1Î± as a master regulator of plasma protein fucosylation.</t>
  </si>
  <si>
    <t>Lauc</t>
  </si>
  <si>
    <t>Genome-wide association analyses of genetic, phenotypic, and environmental risks in the age-related eye disease study.</t>
  </si>
  <si>
    <t>Ryu</t>
  </si>
  <si>
    <t>Sampietro</t>
  </si>
  <si>
    <t>Genome-wide association study identifies two novel regions at 11p15.5-p13 and 1p31 with major impact on acute-phase serum amyloid A.</t>
  </si>
  <si>
    <t>Marzi</t>
  </si>
  <si>
    <t>Circ Res</t>
  </si>
  <si>
    <t>Genetic variation in NCAM1 contributes to left ventricular wall thickness in hypertensive families.</t>
  </si>
  <si>
    <t>Arnett</t>
  </si>
  <si>
    <t>Association of a polymorphism of BTN2A1 with myocardial infarction in East Asian populations.</t>
  </si>
  <si>
    <t>134 Japanese cases, 137 Japanese controls</t>
  </si>
  <si>
    <t>Yamada</t>
  </si>
  <si>
    <t>Identification of a common variant in the TFR2 gene implicated in the physiological regulation of serum iron levels.</t>
  </si>
  <si>
    <t>Pichler</t>
  </si>
  <si>
    <t>Genome-wide association studies of adolescent idiopathic scoliosis suggest candidate susceptibility genes.</t>
  </si>
  <si>
    <t>Sharma</t>
  </si>
  <si>
    <t>Adolescent idiopathic scoliosis</t>
  </si>
  <si>
    <t>Fang</t>
  </si>
  <si>
    <t>Psoriasis risk prediction</t>
  </si>
  <si>
    <t>Hong</t>
  </si>
  <si>
    <t>Freudenberg</t>
  </si>
  <si>
    <t>A genome-wide association analysis reveals 1p31 and 2p13.3 as susceptibility loci for Kawasaki disease.</t>
  </si>
  <si>
    <t>186 Korean child cases, 600 Korean adult controls</t>
  </si>
  <si>
    <t>266 Korean child cases, 600 Korean adult controls, 248 Taiwanese cases,442 Taiwanese controls</t>
  </si>
  <si>
    <t>Genome-wide association study of serious blistering skin rash caused by drugs.</t>
  </si>
  <si>
    <t>Stevens-Johnson syndrome and toxic epidermal necrolysis</t>
  </si>
  <si>
    <t>Pereira</t>
  </si>
  <si>
    <t>Identification of ADAMTS7 as a novel locus for coronary atherosclerosis and association of ABO with myocardial infarction in the presence of coronary atherosclerosis: two genome-wide association studies.</t>
  </si>
  <si>
    <t>Reilly</t>
  </si>
  <si>
    <t>Atherosclerosis and myocardial infarction</t>
  </si>
  <si>
    <t>Gut</t>
  </si>
  <si>
    <t>Common variant in 6q26-q27 is associated with distal colon cancer in an Asian population.</t>
  </si>
  <si>
    <t>Clin Cancer Res</t>
  </si>
  <si>
    <t>Multiple genetic loci modulate lung adenocarcinoma clinical staging.</t>
  </si>
  <si>
    <t>600 Italian lung cancer patients</t>
  </si>
  <si>
    <t>317 Italian lung cancer patients</t>
  </si>
  <si>
    <t>Frullanti</t>
  </si>
  <si>
    <t>Genome-wide association study confirms extant PD risk loci among the Dutch.</t>
  </si>
  <si>
    <t>Genome-wide association study for C-reactive protein levels identified pleiotropic associations in the IL6 locus.</t>
  </si>
  <si>
    <t>Genome-wide association study of hoarding traits.</t>
  </si>
  <si>
    <t>Hoarding behavior</t>
  </si>
  <si>
    <t>Common variants near ATM are associated with glycemic response to metformin in type 2 diabetes.</t>
  </si>
  <si>
    <t>Response to metformin</t>
  </si>
  <si>
    <t>Toxicol Sci</t>
  </si>
  <si>
    <t>Acetaminophen-NAPQI hepatotoxicity: a cell line model system genome-wide association study.</t>
  </si>
  <si>
    <t>Moyer</t>
  </si>
  <si>
    <t>Sci Transl Med</t>
  </si>
  <si>
    <t>Genetic correction of PSA values using sequence variants associated with PSA levels.</t>
  </si>
  <si>
    <t>Common human genetic variants and HIV-1 susceptibility: a genome-wide survey in a homogeneous African population.</t>
  </si>
  <si>
    <t>848 Malawian cases, 531 Malawian controls</t>
  </si>
  <si>
    <t>Petrovski</t>
  </si>
  <si>
    <t>HIV-1 susceptibility</t>
  </si>
  <si>
    <t>Genome-wide association analysis in primary sclerosing cholangitis identifies two non-HLA susceptibility loci.</t>
  </si>
  <si>
    <t>Melum</t>
  </si>
  <si>
    <t>Association between ORMDL3, IL1RL1 and a deletion on chromosome 17q21 with asthma risk in Australia.</t>
  </si>
  <si>
    <t>Illumina [~2.38 million] (imputed)</t>
  </si>
  <si>
    <t>A genome-wide association study for diabetic nephropathy genes in African Americans.</t>
  </si>
  <si>
    <t>709 African American cases, 690 African American controls</t>
  </si>
  <si>
    <t>McDonough</t>
  </si>
  <si>
    <t>Endocr Relat Cancer</t>
  </si>
  <si>
    <t>A pilot genome-wide association study shows genomic variants enriched in the non-tumor cells of patients with well-differentiated neuroendocrine tumors of the ileum.</t>
  </si>
  <si>
    <t>Walsh</t>
  </si>
  <si>
    <t>Ileal carcinoids</t>
  </si>
  <si>
    <t>Cancer;Gastrointestinal</t>
  </si>
  <si>
    <t>Genome-wide association study of renal cell carcinoma identifies two susceptibility loci on 2p21 and 11q13.3.</t>
  </si>
  <si>
    <t>Purdue</t>
  </si>
  <si>
    <t>Renal cell carcinoma</t>
  </si>
  <si>
    <t>Cancer;Kidney cancer;Renal</t>
  </si>
  <si>
    <t>Whole genome association scan for genetic polymorphisms influencing information processing speed.</t>
  </si>
  <si>
    <t>Luciano</t>
  </si>
  <si>
    <t>Hepatology</t>
  </si>
  <si>
    <t>Genetic variations at loci involved in the immune response are risk factors for hepatocellular carcinoma.</t>
  </si>
  <si>
    <t>180 Korean hepatocellular carcinoma cases, 271 Korean controls</t>
  </si>
  <si>
    <t>206 Korean hepatocellular carcinoma cases, 316 Korean controls, 100 Chinese controls</t>
  </si>
  <si>
    <t>Clifford</t>
  </si>
  <si>
    <t>Cancer;Liver cancer;Hepatic</t>
  </si>
  <si>
    <t>Prog Neuropsychopharmacol Biol Psychiatry</t>
  </si>
  <si>
    <t>Genome-wide association study of blood pressure response to methylphenidate treatment of attention-deficit/hyperactivity disorder.</t>
  </si>
  <si>
    <t>Response to methylphenidate treatment</t>
  </si>
  <si>
    <t>Case-case genome-wide association analysis shows markers differentially associated with schizophrenia and bipolar disorder and implicates calcium channel genes.</t>
  </si>
  <si>
    <t>506 European bipolar 1 disorder cases, 523 European schizophrenia cases, 505 European controls</t>
  </si>
  <si>
    <t>Curtis</t>
  </si>
  <si>
    <t>Dumitriu</t>
  </si>
  <si>
    <t>Genome-wide association analysis and fine mapping of NT-proBNP level provide novel insight into the role of the MTHFR-CLCN6-NPPA-NPPB gene cluster.</t>
  </si>
  <si>
    <t>Del Greco</t>
  </si>
  <si>
    <t>NT-proBNP levels</t>
  </si>
  <si>
    <t>Am J Clin Nutr</t>
  </si>
  <si>
    <t>Genome-wide association studies identify genetic loci related to alcohol consumption in Korean men.</t>
  </si>
  <si>
    <t>Baik</t>
  </si>
  <si>
    <t>Alcohol consumption</t>
  </si>
  <si>
    <t>Application of a new method for GWAS in a related case/control sample with known pedigree structure: identification of new loci for nephrolithiasis.</t>
  </si>
  <si>
    <t>73 Sardinian cases, 92 Sardinian controls</t>
  </si>
  <si>
    <t>69 Italian cases, 98 Italian controls, 56 Sardinian cases, 59 Sardinian controls</t>
  </si>
  <si>
    <t>Tore</t>
  </si>
  <si>
    <t>Nephrolithiasis</t>
  </si>
  <si>
    <t>Renal;Stone</t>
  </si>
  <si>
    <t>Imputation of sequence variants for identification of genetic risks for Parkinson's disease: a meta-analysis of genome-wide association studies.</t>
  </si>
  <si>
    <t>International Parkinson Disease Genomics Consortium</t>
  </si>
  <si>
    <t>Genome-wide association analysis of age at onset and psychotic symptoms in bipolar disorder.</t>
  </si>
  <si>
    <t>Belmonte Mahon</t>
  </si>
  <si>
    <t>Rafnar</t>
  </si>
  <si>
    <t>Psychoneuroendocrinology</t>
  </si>
  <si>
    <t>Genetics of cortisol secretion and depressive symptoms: A candidate gene and genome wide association approach.</t>
  </si>
  <si>
    <t>Velders</t>
  </si>
  <si>
    <t>van Disseldorp</t>
  </si>
  <si>
    <t>Ovarian response to FSH stimulation in IVF</t>
  </si>
  <si>
    <t>Identification of novel susceptibility Loci for kawasaki disease in a han chinese population by a genome-wide association study.</t>
  </si>
  <si>
    <t>250 Han Chinese cases, 446 Han Chinese controls</t>
  </si>
  <si>
    <t>208 Han Chinese cases, 366 Han Chinese controls</t>
  </si>
  <si>
    <t>Genome-wide association study identifies genetic variants influencing F-cell levels in sickle-cell patients.</t>
  </si>
  <si>
    <t>Bhatnagar</t>
  </si>
  <si>
    <t>Fetal hemoglobin levels</t>
  </si>
  <si>
    <t>J Gen Virol</t>
  </si>
  <si>
    <t>IL-28B predicts response to chronic hepatitis C therapy--fine-mapping and replication study in Asian populations.</t>
  </si>
  <si>
    <t>Yonsei Med J</t>
  </si>
  <si>
    <t>Association of the adiponectin gene variations with risk of ischemic stroke in a Korean population.</t>
  </si>
  <si>
    <t>160 Korean cases, 160 Korean controls</t>
  </si>
  <si>
    <t>673 Korean cases, 267 Korean controls</t>
  </si>
  <si>
    <t>Cheong</t>
  </si>
  <si>
    <t>A genome-wide association study identifies novel loci associated with circulating IGF-I and IGFBP-3.</t>
  </si>
  <si>
    <t>Kaplan</t>
  </si>
  <si>
    <t>Insulin like growth factor levels</t>
  </si>
  <si>
    <t>Identification of homogenous genetic architecture of multiple genetically correlated traits by block clustering of Genome-wide associations.</t>
  </si>
  <si>
    <t>Gupta</t>
  </si>
  <si>
    <t>Bone mineral traits</t>
  </si>
  <si>
    <t>Clin Transl Sci</t>
  </si>
  <si>
    <t>Hypertrophy-associated polymorphisms ascertained in a founder cohort applied to heart failure risk and mortality.</t>
  </si>
  <si>
    <t>851 Old Order Amish individuals</t>
  </si>
  <si>
    <t>Parsa</t>
  </si>
  <si>
    <t>Heart failure risk and mortality</t>
  </si>
  <si>
    <t>Genome-wide association studies of the PR interval in African Americans.</t>
  </si>
  <si>
    <t>Genome-wide association study of coronary heart disease and its risk factors in 8,090 African Americans: the NHLBI CARe Project.</t>
  </si>
  <si>
    <t>Affymetrix [~2.74 million] (imputed)</t>
  </si>
  <si>
    <t>Lettre</t>
  </si>
  <si>
    <t>Bush</t>
  </si>
  <si>
    <t>Genome-wide association study identifies genetic variation in neurocan as a susceptibility factor for bipolar disorder.</t>
  </si>
  <si>
    <t>Cichon</t>
  </si>
  <si>
    <t>Meta-analysis of genome-wide association studies in &gt;80 000 subjects identifies multiple loci for C-reactive protein levels.</t>
  </si>
  <si>
    <t>Pooled genome-wide analysis to identify novel risk loci for pediatric allergic asthma.</t>
  </si>
  <si>
    <t>Ricci</t>
  </si>
  <si>
    <t>Genome-wide association studies in Asians confirm the involvement of ATOH7 and TGFBR3, and further identify CARD10 as a novel locus influencing optic disc area.</t>
  </si>
  <si>
    <t>Khor</t>
  </si>
  <si>
    <t>Optic disc area</t>
  </si>
  <si>
    <t>Sequence variants in three loci influence monocyte counts and erythrocyte volume.</t>
  </si>
  <si>
    <t>Illumina &amp; Perlegen [~2.5 million] (imputed)</t>
  </si>
  <si>
    <t>Novel breast cancer susceptibility locus at 9q31.2: results of a genome-wide association study.</t>
  </si>
  <si>
    <t>Fletcher</t>
  </si>
  <si>
    <t>HLA-DQA1*02:01 is a major risk factor for lapatinib-induced hepatotoxicity in women with advanced breast cancer.</t>
  </si>
  <si>
    <t>Spraggs</t>
  </si>
  <si>
    <t>Genome-wide association of familial late-onset Alzheimer's disease replicates BIN1 and CLU and nominates CUGBP2 in interaction with APOE.</t>
  </si>
  <si>
    <t>231 Caribbean Hispanic cases, 187 Caribbean Hispanic controls, 386 European American cases, 386 European American controls</t>
  </si>
  <si>
    <t>Wijsman</t>
  </si>
  <si>
    <t>Genome-wide association identifies a susceptibility locus for coronary artery disease in the Chinese Han population.</t>
  </si>
  <si>
    <t>230 Chinese Han cases, 230 Chinese Han controls</t>
  </si>
  <si>
    <t>Association of genetic variation with systolic and diastolic blood pressure among African Americans: the Candidate Gene Association Resource study.</t>
  </si>
  <si>
    <t>Affymetrix [2.5 million] (imputed)</t>
  </si>
  <si>
    <t>Meta-analysis of genome-wide association studies in celiac disease and rheumatoid arthritis identifies fourteen non-HLA shared loci.</t>
  </si>
  <si>
    <t>Zhernakova</t>
  </si>
  <si>
    <t>Celiac disease and Rheumatoid arthritis</t>
  </si>
  <si>
    <t>Meta-analysis for genome-wide association study identifies multiple variants at the BIN1 locus associated with late-onset Alzheimer's disease.</t>
  </si>
  <si>
    <t>Hu</t>
  </si>
  <si>
    <t>Genome-wide association study identifies 12 new susceptibility loci for primary biliary cirrhosis.</t>
  </si>
  <si>
    <t>Mells</t>
  </si>
  <si>
    <t>Vaccine</t>
  </si>
  <si>
    <t>Atopy history and the genomics of wheezing after influenza vaccination in children 6-59 months of age.</t>
  </si>
  <si>
    <t>Miller</t>
  </si>
  <si>
    <t>Wheezing after influenza vaccination in children</t>
  </si>
  <si>
    <t>Differential genetic associations for systemic lupus erythematosus based on anti-dsDNA autoantibody production.</t>
  </si>
  <si>
    <t>Chiang</t>
  </si>
  <si>
    <t>Potential novel candidate polymorphisms identified in genome-wide association study for breast cancer susceptibility.</t>
  </si>
  <si>
    <t>Sehrawat</t>
  </si>
  <si>
    <t>Genome-wide association analysis identifies variants associated with nonalcoholic fatty liver disease that have distinct effects on metabolic traits.</t>
  </si>
  <si>
    <t>A genome-wide association study of attempted suicide.</t>
  </si>
  <si>
    <t>Willour</t>
  </si>
  <si>
    <t>Zhu</t>
  </si>
  <si>
    <t>Blood pressure</t>
  </si>
  <si>
    <t>Deelen</t>
  </si>
  <si>
    <t>A genome-wide association study of serum uric acid in African Americans.</t>
  </si>
  <si>
    <t>Charles</t>
  </si>
  <si>
    <t>Common variants in ZNF365 are associated with both mammographic density and breast cancer risk.</t>
  </si>
  <si>
    <t>Affymetrix &amp; Illumina [~2 million] (imputed)</t>
  </si>
  <si>
    <t>Lindstrom</t>
  </si>
  <si>
    <t>Mammographic density</t>
  </si>
  <si>
    <t>A meta-analysis of genome-wide association scans identifies IL18RAP, PTPN2, TAGAP, and PUS10 as shared risk loci for Crohn's disease and celiac disease.</t>
  </si>
  <si>
    <t>Feston</t>
  </si>
  <si>
    <t>Crohn's disease and Celiac disease</t>
  </si>
  <si>
    <t>Inflammation;Gastrointestinal;Crohn's disease;Celiac disease</t>
  </si>
  <si>
    <t>Saint-Pierre</t>
  </si>
  <si>
    <t>A genome-wide association study of upper aerodigestive tract cancers conducted within the INHANCE consortium.</t>
  </si>
  <si>
    <t>McKay</t>
  </si>
  <si>
    <t>Upper airway tract cancer</t>
  </si>
  <si>
    <t>Cancer;Upper airway tract cancer</t>
  </si>
  <si>
    <t>Nguyen</t>
  </si>
  <si>
    <t>Neuroblastoma (in low-risk cases)</t>
  </si>
  <si>
    <t>Genome-wide association study of rheumatoid arthritis in Koreans: population-specific loci as well as overlap with European susceptibility loci.</t>
  </si>
  <si>
    <t>801 Korean cases, 757 Korean controls</t>
  </si>
  <si>
    <t>718 Korean cases, 719 Korean controls</t>
  </si>
  <si>
    <t>Meta-analysis of genome-wide association for migraine in six population-based European cohorts.</t>
  </si>
  <si>
    <t>Ligthart</t>
  </si>
  <si>
    <t>Demirkan</t>
  </si>
  <si>
    <t>Genome-wide association study of diabetic retinopathy in a Taiwanese population.</t>
  </si>
  <si>
    <t>Meta-analysis identifies 29 additional ulcerative colitis risk loci, increasing the number of confirmed associations to 47.</t>
  </si>
  <si>
    <t>Affymetrix &amp; Illumina [~1.1 million] (imputed)</t>
  </si>
  <si>
    <t>Anderson</t>
  </si>
  <si>
    <t>Marsman</t>
  </si>
  <si>
    <t>Sudden cardiac death</t>
  </si>
  <si>
    <t>A genome-wide association study identifies two loci associated with heart failure due to dilated cardiomyopathy.</t>
  </si>
  <si>
    <t>Villard</t>
  </si>
  <si>
    <t>Heart failure with dilated cardiomyopathy</t>
  </si>
  <si>
    <t>A non-synonymous polymorphism in galactose mutarotase (GALM) is associated with serotonin transporter binding potential in the human thalamus: results of a genome-wide association study.</t>
  </si>
  <si>
    <t>Risk HLA-DQA1 and PLA(2)R1 alleles in idiopathic membranous nephropathy.</t>
  </si>
  <si>
    <t>Stanescu</t>
  </si>
  <si>
    <t>Nephropathy, idiopathic membranous</t>
  </si>
  <si>
    <t>Genome-wide analysis identifies a quantitative trait locus in the MHC class II region associated with generalized vitiligo age of onset.</t>
  </si>
  <si>
    <t>Genomewide association analysis of symptoms of alcohol dependence in the molecular genetics of schizophrenia (MGS2) control sample.</t>
  </si>
  <si>
    <t>Kendler</t>
  </si>
  <si>
    <t>A rare variant in MYH6 is associated with high risk of sick sinus syndrome.</t>
  </si>
  <si>
    <t>Illumina [~7.2 million] (imputed)</t>
  </si>
  <si>
    <t>Sick sinus syndrome</t>
  </si>
  <si>
    <t>Cerivastatin, genetic variants, and the risk of rhabdomyolysis.</t>
  </si>
  <si>
    <t>Marciante</t>
  </si>
  <si>
    <t>Genome-wide association study of personality traits in bipolar patients.</t>
  </si>
  <si>
    <t>Alliey-Rodriguez</t>
  </si>
  <si>
    <t>Bipolar disorder, personality traits within</t>
  </si>
  <si>
    <t>Confirmation of ALDH2 as a Major locus of drinking behavior and of its variants regulating multiple metabolic phenotypes in a Japanese population.</t>
  </si>
  <si>
    <t>733 Japanese cases, 729 Japanese controls</t>
  </si>
  <si>
    <t>Takeuchi</t>
  </si>
  <si>
    <t>Sequence variants at CYP1A1-CYP1A2 and AHR associate with coffee consumption.</t>
  </si>
  <si>
    <t>Coffee consumption</t>
  </si>
  <si>
    <t>CUBN is a gene locus for albuminuria.</t>
  </si>
  <si>
    <t>Boger</t>
  </si>
  <si>
    <t>Genome-wide association study identifies single nucleotide polymorphism in DYRK1A associated with replication of HIV-1 in monocyte-derived macrophages.</t>
  </si>
  <si>
    <t>Bol</t>
  </si>
  <si>
    <t>HIV-1 replication</t>
  </si>
  <si>
    <t>Common variants on 14q32 and 13q12 are associated with DLBCL susceptibility.</t>
  </si>
  <si>
    <t>74 Japanese cases, 934 Japanese controls</t>
  </si>
  <si>
    <t>Kumar</t>
  </si>
  <si>
    <t>A bivariate genome-wide approach to metabolic syndrome: STAMPEED consortium.</t>
  </si>
  <si>
    <t>Kraja</t>
  </si>
  <si>
    <t>Genome-wide association study identifies susceptibility loci for IgA nephropathy.</t>
  </si>
  <si>
    <t>Gharavi</t>
  </si>
  <si>
    <t>Nephropathy</t>
  </si>
  <si>
    <t>HLA-A*3101 and carbamazepine-induced hypersensitivity reactions in Europeans.</t>
  </si>
  <si>
    <t>Illumina [~1.2 million] (imputed)</t>
  </si>
  <si>
    <t>McCormack</t>
  </si>
  <si>
    <t>Genome-wide meta-analysis for severe diabetic retinopathy.</t>
  </si>
  <si>
    <t>Grassi</t>
  </si>
  <si>
    <t>Common variation in GPC5 is associated with acquired nephrotic syndrome.</t>
  </si>
  <si>
    <t>Okamoto</t>
  </si>
  <si>
    <t>Nephrotic syndrome, acquired</t>
  </si>
  <si>
    <t>McLaren</t>
  </si>
  <si>
    <t>Iron deficiency</t>
  </si>
  <si>
    <t>Transferability of type 2 diabetes implicated loci in multi-ethnic cohorts from Southeast Asia.</t>
  </si>
  <si>
    <t>Sim</t>
  </si>
  <si>
    <t>Cancer Prev Res (Phila)</t>
  </si>
  <si>
    <t>A genome-wide association study identifies a locus on chromosome 14q21 as a predictor of leukocyte telomere length and as a marker of susceptibility for bladder cancer.</t>
  </si>
  <si>
    <t>Common variants at ABCA7, MS4A6A/MS4A4E, EPHA1, CD33 and CD2AP are associated with Alzheimer's disease.</t>
  </si>
  <si>
    <t>Hollingworth</t>
  </si>
  <si>
    <t>Pasaniuc</t>
  </si>
  <si>
    <t>A genome-wide association study identifies novel loci associated with susceptibility to chronic myeloid leukemia.</t>
  </si>
  <si>
    <t>201 Korean cases, 497 Korean controls</t>
  </si>
  <si>
    <t>Eur Respir J</t>
  </si>
  <si>
    <t>A genome-wide association study reveals evidence of association with sarcoidosis at 6p12.1.</t>
  </si>
  <si>
    <t>381 German cases, 392 German controls</t>
  </si>
  <si>
    <t>Hofmann</t>
  </si>
  <si>
    <t>Haematologica</t>
  </si>
  <si>
    <t>Novel loci involved on platelet function and platelet count identified by a genome-wide study performed in children.</t>
  </si>
  <si>
    <t>Guerrero</t>
  </si>
  <si>
    <t>Int J Obes (Lond)</t>
  </si>
  <si>
    <t>Replication of 13 obesity loci among Singaporean Chinese, Malay and Asian-Indian populations.</t>
  </si>
  <si>
    <t>Dorajoo</t>
  </si>
  <si>
    <t>A genome-wide association study on obesity and obesity-related traits.</t>
  </si>
  <si>
    <t>A second independent locus within DMRT1 is associated with testicular germ cell tumor susceptibility.</t>
  </si>
  <si>
    <t>Kanetsky</t>
  </si>
  <si>
    <t>A genome-wide association study reveals association between common variants in an intergenic region of 4q25 and high-grade myopia in the Chinese Han population.</t>
  </si>
  <si>
    <t>102 Han Chinese cases, 335 Han Chinese controls</t>
  </si>
  <si>
    <t>Genome-wide association study identifies a susceptibility locus for HCV-induced hepatocellular carcinoma.</t>
  </si>
  <si>
    <t>Genome-wide association identifies diverse causes of common variable immunodeficiency.</t>
  </si>
  <si>
    <t>Orange</t>
  </si>
  <si>
    <t>Common variable immunodeficiency</t>
  </si>
  <si>
    <t>Blood-related;Immune-related</t>
  </si>
  <si>
    <t>Genome-wide association study of survival in non-small cell lung cancer patients receiving platinum-based chemotherapy.</t>
  </si>
  <si>
    <t>Genome-wide association study identifies nidogen 1 (NID1) as a susceptibility locus to cutaneous nevi and melanoma risk.</t>
  </si>
  <si>
    <t>Nan</t>
  </si>
  <si>
    <t>World J Biol Psychiatry</t>
  </si>
  <si>
    <t>Genome-wide association study of motor coordination problems in ADHD identifies genes for brain and muscle function.</t>
  </si>
  <si>
    <t>296 Dutch children</t>
  </si>
  <si>
    <t>Fliers</t>
  </si>
  <si>
    <t>ADD</t>
  </si>
  <si>
    <t>A genome-wide association study identifies three loci associated with susceptibility to uterine fibroids.</t>
  </si>
  <si>
    <t>Uterine fibroids (benign tumors)</t>
  </si>
  <si>
    <t>Genome-wide joint SNP and CNV analysis of aortic root diameter in African Americans: the HyperGEN study.</t>
  </si>
  <si>
    <t>Wineinger</t>
  </si>
  <si>
    <t>Aortic root diameter</t>
  </si>
  <si>
    <t>Genome Med</t>
  </si>
  <si>
    <t>A whole genome association study of mother-to-child transmission of HIV in Malawi.</t>
  </si>
  <si>
    <t>100 Malawian infant cases, 126 Malawian infant controls</t>
  </si>
  <si>
    <t>Joubert</t>
  </si>
  <si>
    <t>Quantitative trait loci for CD4:CD8 lymphocyte ratio are associated with risk of type 1 diabetes and HIV-1 immune control.</t>
  </si>
  <si>
    <t>CD4:CD8 T cell ratios</t>
  </si>
  <si>
    <t>Turner</t>
  </si>
  <si>
    <t>Kammerer</t>
  </si>
  <si>
    <t>Breast cancer, prostate cancer</t>
  </si>
  <si>
    <t>Spector</t>
  </si>
  <si>
    <t>Mah</t>
  </si>
  <si>
    <t>Hoyal</t>
  </si>
  <si>
    <t>Pearson</t>
  </si>
  <si>
    <t>Reneland</t>
  </si>
  <si>
    <t>Common variants in a novel gene, FONG on chromosome 2q33.1 confer risk of osteoporosis in Japanese.</t>
  </si>
  <si>
    <t>Kou</t>
  </si>
  <si>
    <t>Shimazaki</t>
  </si>
  <si>
    <t>Mushiroda</t>
  </si>
  <si>
    <t>Acute lung injury</t>
  </si>
  <si>
    <t>Stark</t>
  </si>
  <si>
    <t>Dilated cardiomyopathy</t>
  </si>
  <si>
    <t>Bailey</t>
  </si>
  <si>
    <t>Thiazolidinedione-induced edema</t>
  </si>
  <si>
    <t>Schizophrenia, treatment response to risperidone</t>
  </si>
  <si>
    <t>Meaburn</t>
  </si>
  <si>
    <t>Genome-wide association and genetic functional studies identify autism susceptibility candidate 2 gene (AUTS2) in the regulation of alcohol consumption.</t>
  </si>
  <si>
    <t>Affymetrix, Illumina, and Perlegen [~2.5 million] (imputed)</t>
  </si>
  <si>
    <t>Schumann</t>
  </si>
  <si>
    <t>Genome-wide Association Study Identifies a Genetic Variant Associated with Risk for More Aggressive Prostate Cancer.</t>
  </si>
  <si>
    <t>Fitzgerald</t>
  </si>
  <si>
    <t>Common variants at MS4A4/MS4A6E, CD2AP, CD33 and EPHA1 are associated with late-onset Alzheimer's disease.</t>
  </si>
  <si>
    <t>GWAS of follicular lymphoma reveals allelic heterogeneity at 6p21.32 and suggests shared genetic susceptibility with diffuse large B-cell lymphoma.</t>
  </si>
  <si>
    <t>379 Danish/Swedish cases, 791 Danish/Swedish controls</t>
  </si>
  <si>
    <t>Smedby</t>
  </si>
  <si>
    <t>Genetic predictors of fibrin D-dimer levels in healthy adults.</t>
  </si>
  <si>
    <t>The human AIRE gene at chromosome 21q22 is a genetic determinant for the predisposition to rheumatoid arthritis in Japanese population.</t>
  </si>
  <si>
    <t>Terao</t>
  </si>
  <si>
    <t>Single-nucleotide polymorphisms in HLA- and non-HLA genes associated with the development of antibodies to interferon-Î² therapy in multiple sclerosis patients.</t>
  </si>
  <si>
    <t>Weber</t>
  </si>
  <si>
    <t>Genome-wide association study identifies a common variant associated with risk of endometrial cancer.</t>
  </si>
  <si>
    <t>Spurdle</t>
  </si>
  <si>
    <t>Endometrial cancer</t>
  </si>
  <si>
    <t>Meta-analysis of genome-wide association studies identifies common variants associated with blood pressure variation in east Asians.</t>
  </si>
  <si>
    <t>Affymetrix &amp; Illumina [1.7 million] (imputed)</t>
  </si>
  <si>
    <t>Genetic and clinical correlates of early-outgrowth colony-forming units.</t>
  </si>
  <si>
    <t>Shaw</t>
  </si>
  <si>
    <t>Discovery and replication of dopamine-related gene effects on caudate volume in young and elderly populations (N=1198) using genome-wide search.</t>
  </si>
  <si>
    <t>Caudate volume</t>
  </si>
  <si>
    <t>Genome-wide association study of prostate cancer in men of African ancestry identifies a susceptibility locus at 17q21.</t>
  </si>
  <si>
    <t>Haiman</t>
  </si>
  <si>
    <t>Genome-wide association and linkage identify modifier loci of lung disease severity in cystic fibrosis at 11p13 and 20q13.2.</t>
  </si>
  <si>
    <t>Wright</t>
  </si>
  <si>
    <t>Cystic fibrosis, severity of</t>
  </si>
  <si>
    <t>A genome-wide association study of metabolic traits in human urine.</t>
  </si>
  <si>
    <t>862 German males</t>
  </si>
  <si>
    <t>870 German females, 992 German individuals</t>
  </si>
  <si>
    <t>Suhre</t>
  </si>
  <si>
    <t>Genome-wide association study identifies susceptibility loci for open angle glaucoma at TMCO1 and CDKN2B-AS1.</t>
  </si>
  <si>
    <t>Burdon</t>
  </si>
  <si>
    <t>Glaucoma, open angle</t>
  </si>
  <si>
    <t>Eight common genetic variants associated with serum DHEAS levels suggest a key role in ageing mechanisms.</t>
  </si>
  <si>
    <t>Zhai</t>
  </si>
  <si>
    <t>Genome-wide meta-analysis identifies regions on 7p21 (AHR) and 15q24 (CYP1A2) as determinants of habitual caffeine consumption.</t>
  </si>
  <si>
    <t>Cornelis</t>
  </si>
  <si>
    <t>Chromosome 7p11.2 (EGFR) variation influences glioma risk.</t>
  </si>
  <si>
    <t>Sanson</t>
  </si>
  <si>
    <t>Kaess</t>
  </si>
  <si>
    <t>HDL particle features</t>
  </si>
  <si>
    <t>Genome-wide association study for atopy and allergic rhinitis in a singapore chinese population.</t>
  </si>
  <si>
    <t>515 Chinese cases, 486 Chinese controls</t>
  </si>
  <si>
    <t>Andiappan</t>
  </si>
  <si>
    <t>Atopy and allergic rhinitis</t>
  </si>
  <si>
    <t>The neuronal transporter gene SLC6A15 confers risk to major depression.</t>
  </si>
  <si>
    <t>Kohli</t>
  </si>
  <si>
    <t>Citterio</t>
  </si>
  <si>
    <t>Hypertension, salt-sensitive</t>
  </si>
  <si>
    <t>Identification of homogeneous genetic architecture of multiple genetically correlated traits by block clustering of genome-wide associations.</t>
  </si>
  <si>
    <t>Genome-wide association study of relative telomere length.</t>
  </si>
  <si>
    <t>Prescott</t>
  </si>
  <si>
    <t>Am J Nephrol</t>
  </si>
  <si>
    <t>Genome-wide association scan for survival on dialysis in african-americans with type 2 diabetes.</t>
  </si>
  <si>
    <t>610 African American type 2 diabetics</t>
  </si>
  <si>
    <t>Murea</t>
  </si>
  <si>
    <t>Genome-wide association study using extreme truncate selection identifies novel genes affecting bone mineral density and fracture risk.</t>
  </si>
  <si>
    <t>Duncan</t>
  </si>
  <si>
    <t>A Quantitative-Trait Genome-Wide Association Study of Alcoholism Risk in the Community: Findings and Implications.</t>
  </si>
  <si>
    <t>Heath</t>
  </si>
  <si>
    <t>Genome-wide association analysis of soluble ICAM-1 concentration reveals novel associations at the NFKBIK, PNPLA3, RELA, and SH2B3 loci.</t>
  </si>
  <si>
    <t>Susceptibility to Amoxicillin-Clavulanate-Induced Liver Injury Is Influenced by Multiple HLA Class I and II Alleles.</t>
  </si>
  <si>
    <t>Lucena</t>
  </si>
  <si>
    <t>Drug-induced liver injury with amoxicillin-clavulanate treatment</t>
  </si>
  <si>
    <t>Genome-wide association study implicates PARD3B-based AIDS restriction.</t>
  </si>
  <si>
    <t>Troyer</t>
  </si>
  <si>
    <t>Clin Infect Dis</t>
  </si>
  <si>
    <t>Duffy-null-associated low neutrophil counts influence HIV-1 susceptibility in high-risk South African black women.</t>
  </si>
  <si>
    <t>Ramsuren</t>
  </si>
  <si>
    <t>Genome-wide association study identifies four genetic loci associated with thyroid volume and goiter risk.</t>
  </si>
  <si>
    <t>Teumer</t>
  </si>
  <si>
    <t>Thyroid volume and goiter risk</t>
  </si>
  <si>
    <t>Van Bergen</t>
  </si>
  <si>
    <t>Erhardt</t>
  </si>
  <si>
    <t>Genome-wide association identifies three new susceptibility loci for Paget's disease of bone.</t>
  </si>
  <si>
    <t>Innocenti</t>
  </si>
  <si>
    <t>Gene expression in liver</t>
  </si>
  <si>
    <t>Genetic variants at 13q12.12 are associated with high myopia in the han chinese population.</t>
  </si>
  <si>
    <t>419 Han Chinese high myopia cases, 669 Han Chinese controls</t>
  </si>
  <si>
    <t>The membrane-spanning 4-domains, subfamily A (MS4A) gene cluster contains a common variant associated with Alzheimer's disease.</t>
  </si>
  <si>
    <t>Antunez</t>
  </si>
  <si>
    <t>Genome-wide association analysis of gender differences in major depressive disorder in the Netherlands NESDA and NTR population-based samples.</t>
  </si>
  <si>
    <t>Aragam</t>
  </si>
  <si>
    <t>Rejuvenation Res</t>
  </si>
  <si>
    <t>Association Study on Long-Living Individuals from Southern Italy Identifies rs10491334 in the CAMKIV Gene That Regulates Survival Proteins.</t>
  </si>
  <si>
    <t>Malovini</t>
  </si>
  <si>
    <t>Aging;Mortality</t>
  </si>
  <si>
    <t>A Genome-wide Association Study Identifies LIPA as a Susceptibility Gene for Coronary Artery Disease.</t>
  </si>
  <si>
    <t>Wild</t>
  </si>
  <si>
    <t>Greenawalt</t>
  </si>
  <si>
    <t>Gene expression in stomach, liver and adipose</t>
  </si>
  <si>
    <t>Genome-wide association study of type 2 diabetes in a sample from Mexico City and a meta-analysis of a Mexican-American sample from Starr County, Texas.</t>
  </si>
  <si>
    <t>967 Mexican cases, 343 Mexican controls, 837 Mexican-American cases, 437 Mexican-American controls</t>
  </si>
  <si>
    <t>Parra</t>
  </si>
  <si>
    <t>Genome-wide association study identifies three new susceptibility loci for esophageal squamous-cell carcinoma in Chinese populations.</t>
  </si>
  <si>
    <t>Wen</t>
  </si>
  <si>
    <t>McCrae</t>
  </si>
  <si>
    <t>Personality traits</t>
  </si>
  <si>
    <t>Limou</t>
  </si>
  <si>
    <t>Lo</t>
  </si>
  <si>
    <t>Wassel</t>
  </si>
  <si>
    <t>Fibrinogen levels</t>
  </si>
  <si>
    <t>Tomaszewski</t>
  </si>
  <si>
    <t>Talmud</t>
  </si>
  <si>
    <t>Carotid intima-media thickness</t>
  </si>
  <si>
    <t>Genome-wide Association with C-Reactive Protein Levels in CLHNS: Evidence for the CRP and HNF1A Loci and their Interaction with Exposure to a Pathogenic Environment.</t>
  </si>
  <si>
    <t>Genome-wide association and meta-analysis in populations from Starr County, Texas, and Mexico City identify type 2 diabetes susceptibility loci and enrichment for expression quantitative trait loci in top signals.</t>
  </si>
  <si>
    <t>837 Mexican-American cases, 781 Mexican-American controls</t>
  </si>
  <si>
    <t>967 Hispanic cases, 343 Hispanic controls</t>
  </si>
  <si>
    <t>Below</t>
  </si>
  <si>
    <t>Mayo Clin Proc</t>
  </si>
  <si>
    <t>Mayo genome consortia: a genotype-phenotype resource for genome-wide association studies with an application to the analysis of circulating bilirubin levels.</t>
  </si>
  <si>
    <t>Bielinski</t>
  </si>
  <si>
    <t>Genome-wide association study identified ITPA/DDRGK1 variants reflecting thrombocytopenia in pegylated interferon and ribavirin therapy for chronic hepatitis C.</t>
  </si>
  <si>
    <t>303 Japanese cases</t>
  </si>
  <si>
    <t>391 Japanese cases</t>
  </si>
  <si>
    <t>Aouizerat</t>
  </si>
  <si>
    <t>Sudden cardiac arrest</t>
  </si>
  <si>
    <t>Association between SNP-genotype and chronic lymphocytic leukemia outcome in a randomized chemotherapy trial.</t>
  </si>
  <si>
    <t>380 Italian chronic lymphocytic leukemia cases</t>
  </si>
  <si>
    <t>Wade</t>
  </si>
  <si>
    <t>Agrawal</t>
  </si>
  <si>
    <t>Cannabis dependence</t>
  </si>
  <si>
    <t>Genome-wide association study reveals three susceptibility loci for common migraine in the general population.</t>
  </si>
  <si>
    <t>Genome-wide association study identifies two new susceptibility loci for atopic dermatitis in the Chinese Han population.</t>
  </si>
  <si>
    <t>Genome-wide association study identifies two loci strongly affecting transferrin glycosylation.</t>
  </si>
  <si>
    <t>Kutalik</t>
  </si>
  <si>
    <t>Association of variants in FRAP1 and PDGFRA with corneal curvature in Asian populations from Singapore.</t>
  </si>
  <si>
    <t>Corneal curvature</t>
  </si>
  <si>
    <t>Common variants near FRK/COL10A1 and VEGFA are associated with advanced age-related macular degeneration.</t>
  </si>
  <si>
    <t>Yu</t>
  </si>
  <si>
    <t>Genome-wide Significance and Replication of the Chromosome 12p11.22 Locus Near the PTHLH Gene for Peripartum Cardiomyopathy.</t>
  </si>
  <si>
    <t>Horne</t>
  </si>
  <si>
    <t>Peripartum cardiomyopathy</t>
  </si>
  <si>
    <t>Genome-wide association study of schizophrenia in Japanese population.</t>
  </si>
  <si>
    <t>Genome-wide association studies of cerebral white matter lesion burden: The CHARGE consortium.</t>
  </si>
  <si>
    <t>Fornage</t>
  </si>
  <si>
    <t>Brain white matter hyperintensity</t>
  </si>
  <si>
    <t>A genome-wide association study for quantitative traits in schizophrenia in China.</t>
  </si>
  <si>
    <t>98 Chinese cases, 60 Chinese controls</t>
  </si>
  <si>
    <t>Cognition, in schizophrenia</t>
  </si>
  <si>
    <t>Thorax</t>
  </si>
  <si>
    <t>Genome-wide association study of smoking behaviours in patients with COPD.</t>
  </si>
  <si>
    <t>Illumina [~6.3 million] (imputed)</t>
  </si>
  <si>
    <t>Siedlinski</t>
  </si>
  <si>
    <t>Int J Neuropsychopharmacol</t>
  </si>
  <si>
    <t>DOCK4 and CEACAM21 as novel schizophrenia candidate genes in the Jewish population.</t>
  </si>
  <si>
    <t>Alkelai</t>
  </si>
  <si>
    <t>Schizophrenia, age at onset</t>
  </si>
  <si>
    <t>Identification of common variants influencing risk of the tauopathy progressive supranuclear palsy.</t>
  </si>
  <si>
    <t>Hoglinger</t>
  </si>
  <si>
    <t>Ben-David</t>
  </si>
  <si>
    <t>Educational attainment: a genome wide association study in 9538 australians.</t>
  </si>
  <si>
    <t>Martin</t>
  </si>
  <si>
    <t>Educational attainment</t>
  </si>
  <si>
    <t>Genome-wide association study of severity in multiple sclerosis.</t>
  </si>
  <si>
    <t>Briggs</t>
  </si>
  <si>
    <t>Multiple sclerosis, severity</t>
  </si>
  <si>
    <t>Do</t>
  </si>
  <si>
    <t>Genome-wide association study identifies novel alleles associated with risk of cutaneous basal cell carcinoma and squamous cell carcinoma.</t>
  </si>
  <si>
    <t>Genome-Wide Association of BMI in African Americans.</t>
  </si>
  <si>
    <t>Ng</t>
  </si>
  <si>
    <t>A Genome-Wide Association Study of BMI in American Indians.</t>
  </si>
  <si>
    <t>Malhotra</t>
  </si>
  <si>
    <t>Anesthesiology</t>
  </si>
  <si>
    <t>Genome-wide Association Study Using Pooled DNA to Identify Candidate Markers Mediating Susceptibility to Postoperative Nausea and Vomiting.</t>
  </si>
  <si>
    <t>Janicki</t>
  </si>
  <si>
    <t>Post-operative nausea and vomiting</t>
  </si>
  <si>
    <t>Novel Locus FER Is Associated With Serum HMW Adiponectin Levels.</t>
  </si>
  <si>
    <t>HDL cholesterol (high/low extremes)</t>
  </si>
  <si>
    <t>Fledel-Alon</t>
  </si>
  <si>
    <t>Identification of ATPAF1 as a novel candidate gene for asthma in children.</t>
  </si>
  <si>
    <t>Schauberger</t>
  </si>
  <si>
    <t>Asthma, childhood</t>
  </si>
  <si>
    <t>Teerlink</t>
  </si>
  <si>
    <t>A meta-analysis of two genome-wide association studies identifies 3 new loci for alcohol dependence.</t>
  </si>
  <si>
    <t>The HLA-Cw*1202-B*5201-DRB1*1502 Haplotype Increases Risk for Ulcerative Colitis but Reduces Risk for Crohn's Disease.</t>
  </si>
  <si>
    <t>372 Japanese Crohn's disease cases, 372 Japanese Ulcerative colitis disease cases, 905 Japanese controls</t>
  </si>
  <si>
    <t>607 Japanese Crohn's disease cases, 376 Japanese Ulcerative colitis disease cases</t>
  </si>
  <si>
    <t>Ulcerative colitis and Crohn's disease</t>
  </si>
  <si>
    <t>Jiao</t>
  </si>
  <si>
    <t>Ivansson</t>
  </si>
  <si>
    <t>Cervical cancer</t>
  </si>
  <si>
    <t>Genetic variation near IRS1 associates with reduced adiposity and an impaired metabolic profile.</t>
  </si>
  <si>
    <t>Kilpelainen</t>
  </si>
  <si>
    <t>Body fat percentage</t>
  </si>
  <si>
    <t>Interferon-related cytopenia in hepatitis C</t>
  </si>
  <si>
    <t>Complement Receptor 1 Gene Variants Are Associated with Erythrocyte Sedimentation Rate.</t>
  </si>
  <si>
    <t>Xu</t>
  </si>
  <si>
    <t>Asthma, severe exacerbations</t>
  </si>
  <si>
    <t>Major</t>
  </si>
  <si>
    <t>Reiner</t>
  </si>
  <si>
    <t>Schumacher</t>
  </si>
  <si>
    <t>Prostate cancer, advanced</t>
  </si>
  <si>
    <t>Nebel</t>
  </si>
  <si>
    <t>Kote-Jarai</t>
  </si>
  <si>
    <t>Dolmans</t>
  </si>
  <si>
    <t>Broen</t>
  </si>
  <si>
    <t>Renal cell carcinoma in stem cell transplantation</t>
  </si>
  <si>
    <t>Taylor</t>
  </si>
  <si>
    <t>FVII levels</t>
  </si>
  <si>
    <t>Allanore</t>
  </si>
  <si>
    <t>Mbarek</t>
  </si>
  <si>
    <t>Neuro;Behavioral;Schizophrenia</t>
  </si>
  <si>
    <t>Social;Neuro;Cognition</t>
  </si>
  <si>
    <t>Inflammation;Gastrointestinal;Crohn's disease;Ulcerative colitis</t>
  </si>
  <si>
    <t>Wheeler</t>
  </si>
  <si>
    <t>Schosser</t>
  </si>
  <si>
    <t>Luo</t>
  </si>
  <si>
    <t>Oishi</t>
  </si>
  <si>
    <t>Peters</t>
  </si>
  <si>
    <t>Lovely</t>
  </si>
  <si>
    <t>Png</t>
  </si>
  <si>
    <t>Antibody titer to hepatitis B vaccination</t>
  </si>
  <si>
    <t>Tin</t>
  </si>
  <si>
    <t>TASC</t>
  </si>
  <si>
    <t>Cancer;Hepatic;Liver cancer;Infection;Hepatitis</t>
  </si>
  <si>
    <t>Gorlova</t>
  </si>
  <si>
    <t>Restless leg syndrome</t>
  </si>
  <si>
    <t>Anthropometric;Behavioral;Neuro</t>
  </si>
  <si>
    <t>Cancer;Skin cancer;Skin-related;Melanoma</t>
  </si>
  <si>
    <t>Thyroid</t>
  </si>
  <si>
    <t>Diabetic retinopathy</t>
  </si>
  <si>
    <t>Breast cancer, early onset</t>
  </si>
  <si>
    <t>Obesity, early onset extreme</t>
  </si>
  <si>
    <t>Obesity, early onset in children and adolescents</t>
  </si>
  <si>
    <t>LDL cholesterol, coronary artery calcification</t>
  </si>
  <si>
    <t>Nicotine, smoking behavior</t>
  </si>
  <si>
    <t>Nicotine, smoking cessation</t>
  </si>
  <si>
    <t>Nicotine, smoking quantity</t>
  </si>
  <si>
    <t>Obesity, menopause</t>
  </si>
  <si>
    <t>Primary tooth development during infancy</t>
  </si>
  <si>
    <t>Progressive supranuclear palsy</t>
  </si>
  <si>
    <t>Psoriasis and psoriatic arthritis</t>
  </si>
  <si>
    <t>Sickle cell anemia, severity</t>
  </si>
  <si>
    <t>Yosifova</t>
  </si>
  <si>
    <t>Dumitrescu</t>
  </si>
  <si>
    <t>Steinberg</t>
  </si>
  <si>
    <t>Physical activity</t>
  </si>
  <si>
    <t>Dobbins</t>
  </si>
  <si>
    <t>Meningioma</t>
  </si>
  <si>
    <t>Hirota</t>
  </si>
  <si>
    <t>Torgerson</t>
  </si>
  <si>
    <t>Lemaitre</t>
  </si>
  <si>
    <t>Wood</t>
  </si>
  <si>
    <t>Srinivasan</t>
  </si>
  <si>
    <t>Freidin</t>
  </si>
  <si>
    <t>Min</t>
  </si>
  <si>
    <t>Behavior, childhood</t>
  </si>
  <si>
    <t>Walter</t>
  </si>
  <si>
    <t>Schurks</t>
  </si>
  <si>
    <t>Cardiovascular disease events in migraineurs</t>
  </si>
  <si>
    <t>Genin</t>
  </si>
  <si>
    <t>Chantarangsu</t>
  </si>
  <si>
    <t>Nevirapine-induced rash</t>
  </si>
  <si>
    <t>Noguchi</t>
  </si>
  <si>
    <t>Bakken</t>
  </si>
  <si>
    <t>FVIII levels, vWF levels</t>
  </si>
  <si>
    <t>Antoni</t>
  </si>
  <si>
    <t>Girotto</t>
  </si>
  <si>
    <t>Hearing function</t>
  </si>
  <si>
    <t>van Manen</t>
  </si>
  <si>
    <t>HIV-1 progression to AIDS and death</t>
  </si>
  <si>
    <t>Substance dependence</t>
  </si>
  <si>
    <t>Johnson</t>
  </si>
  <si>
    <t>Nica</t>
  </si>
  <si>
    <t>Mason</t>
  </si>
  <si>
    <t>Gene expression in muscle</t>
  </si>
  <si>
    <t>Gene expression in endometrial cancer tumors</t>
  </si>
  <si>
    <t>Kompass</t>
  </si>
  <si>
    <t>Garcia-Closas</t>
  </si>
  <si>
    <t>Fehrmann</t>
  </si>
  <si>
    <t>Eng</t>
  </si>
  <si>
    <t>Paclitaxel sensitivity in NCI60 cancer cell lines</t>
  </si>
  <si>
    <t>Pounds</t>
  </si>
  <si>
    <t>Palejev</t>
  </si>
  <si>
    <t>Schalkwyk</t>
  </si>
  <si>
    <t>Isackson</t>
  </si>
  <si>
    <t>Davies</t>
  </si>
  <si>
    <t>Plagnol</t>
  </si>
  <si>
    <t>Nyberg</t>
  </si>
  <si>
    <t>Spaapen</t>
  </si>
  <si>
    <t>Larsson</t>
  </si>
  <si>
    <t>Sawcer</t>
  </si>
  <si>
    <t>Hadchouel</t>
  </si>
  <si>
    <t>Bronchopulmonary dysplasia</t>
  </si>
  <si>
    <t>Chu</t>
  </si>
  <si>
    <t>Grave's disease</t>
  </si>
  <si>
    <t>Miyamoto</t>
  </si>
  <si>
    <t>Hata</t>
  </si>
  <si>
    <t>Ishii</t>
  </si>
  <si>
    <t>Maeda</t>
  </si>
  <si>
    <t>Yanagiya</t>
  </si>
  <si>
    <t>Ohtsubu</t>
  </si>
  <si>
    <t>Ebana</t>
  </si>
  <si>
    <t>Tanabe</t>
  </si>
  <si>
    <t>Matsushita</t>
  </si>
  <si>
    <t>Sakamoto</t>
  </si>
  <si>
    <t>Kamiyama</t>
  </si>
  <si>
    <t>Stroke, atherothrombotic</t>
  </si>
  <si>
    <t>Mitelstrass</t>
  </si>
  <si>
    <t>Schnabel</t>
  </si>
  <si>
    <t>Mukherjee</t>
  </si>
  <si>
    <t>Traglia</t>
  </si>
  <si>
    <t>Bell</t>
  </si>
  <si>
    <t>Widen</t>
  </si>
  <si>
    <t>Hao</t>
  </si>
  <si>
    <t>Pander</t>
  </si>
  <si>
    <t>Day-Williams</t>
  </si>
  <si>
    <t>Strawbridge</t>
  </si>
  <si>
    <t>Fasting proinsulin levels in non-diabetics</t>
  </si>
  <si>
    <t>Takahashi</t>
  </si>
  <si>
    <t>Lind</t>
  </si>
  <si>
    <t>Nicotine and alcohol dependence</t>
  </si>
  <si>
    <t>Height and body mass index</t>
  </si>
  <si>
    <t>Xing</t>
  </si>
  <si>
    <t>Autism spectrum disorders with language delay</t>
  </si>
  <si>
    <t>Naylor</t>
  </si>
  <si>
    <t>Pezzolesi</t>
  </si>
  <si>
    <t>Antisocial behavior</t>
  </si>
  <si>
    <t>Viding</t>
  </si>
  <si>
    <t>Blood pressure lowering with thiazide-diuretic treatment</t>
  </si>
  <si>
    <t>Cordell</t>
  </si>
  <si>
    <t>Middelberg</t>
  </si>
  <si>
    <t>Lydall</t>
  </si>
  <si>
    <t>Amin</t>
  </si>
  <si>
    <t>Wooten</t>
  </si>
  <si>
    <t>Bicuspid aortic valve</t>
  </si>
  <si>
    <t>Alcohol dependence in bipolar cases and non-bipolar controls</t>
  </si>
  <si>
    <t>Neuro;Behavioral;Autism;Cognition</t>
  </si>
  <si>
    <t>Neuro;Behavioral;Developmental</t>
  </si>
  <si>
    <t>Pulmonary;Chronic lung disease;Developmental</t>
  </si>
  <si>
    <t>Cancer;Gastric cancer;Esophageal cancer;Gastrointestinal</t>
  </si>
  <si>
    <t>Neuro;Cognition;Behavioral</t>
  </si>
  <si>
    <t>Cancer;Colorectal cancer;Drug response</t>
  </si>
  <si>
    <t>Cancer;Thyroid cancer;Thyroid</t>
  </si>
  <si>
    <t>Grave's disease;Thyroid</t>
  </si>
  <si>
    <t>Cancer;Thyroid cancer;Radiation;Thyroid</t>
  </si>
  <si>
    <t>Mondul</t>
  </si>
  <si>
    <t>Jensen</t>
  </si>
  <si>
    <t>Human papilloma virus seropositivity</t>
  </si>
  <si>
    <t>Irvin</t>
  </si>
  <si>
    <t>Subcutaneous adipose tissue volume in HIV-infected men</t>
  </si>
  <si>
    <t>Dissertation (https://openaccess.leidenuniv.nl/handle/1887/17746)</t>
  </si>
  <si>
    <t>Stranger</t>
  </si>
  <si>
    <t>Nakabayashi</t>
  </si>
  <si>
    <t>Fasting insulin</t>
  </si>
  <si>
    <t>Nicholson</t>
  </si>
  <si>
    <t>Geller</t>
  </si>
  <si>
    <t>Eruption of permanent teeth</t>
  </si>
  <si>
    <t>Platelet aggregation, pre-aspirin and post-aspirin</t>
  </si>
  <si>
    <t>Schunkert</t>
  </si>
  <si>
    <t>C4D</t>
  </si>
  <si>
    <t>Yashin</t>
  </si>
  <si>
    <t>Heinzein</t>
  </si>
  <si>
    <t>Beta-thalassemia/hemoglobin E disease</t>
  </si>
  <si>
    <t>Genome-wide scan of copy number variation in late-onset Alzheimer's disease.</t>
  </si>
  <si>
    <t>235 mild Thai-Chinese cases, 383 severe Thai-Chinese cases</t>
  </si>
  <si>
    <t>52 mild Indonesian cases, 122 severe Indonesian cases</t>
  </si>
  <si>
    <t>A genome-wide association identified the common genetic variants influence disease severity in beta0-thalassemia/hemoglobin E.</t>
  </si>
  <si>
    <t>Aging (Albany NY)</t>
  </si>
  <si>
    <t>Joint influence of small-effect genetic variants on human longevity.</t>
  </si>
  <si>
    <t>Modeling the cumulative genetic risk for multiple sclerosis from genome-wide association data.</t>
  </si>
  <si>
    <t>A genome-wide association study in Europeans and South Asians identifies five new loci for coronary artery disease.</t>
  </si>
  <si>
    <t>Large-scale association analysis identifies 13 new susceptibility loci for coronary artery disease.</t>
  </si>
  <si>
    <t>BMC Cardiovasc Disord</t>
  </si>
  <si>
    <t>GWAS for discovery and replication of genetic loci associated with sudden cardiac arrest in patients with coronary artery disease.</t>
  </si>
  <si>
    <t>Addict Biol</t>
  </si>
  <si>
    <t>A genome-wide association study of DSM-IV cannabis dependence.</t>
  </si>
  <si>
    <t>984 European Americans with genotype 1 HCV, 201 African Americans with genotype 1 HCV, 99 Hispanics with genotype 1 HCV</t>
  </si>
  <si>
    <t>J Hepatol</t>
  </si>
  <si>
    <t>Genome-wide association study of interferon-related cytopenia in chronic hepatitis C patients.</t>
  </si>
  <si>
    <t>A unique genome-wide association analysis in extended Utah high-risk pedigrees identifies a novel melanoma risk variant on chromosome arm 10q.</t>
  </si>
  <si>
    <t>Genome wide association study identifies KCNMA1 contributing to human obesity.</t>
  </si>
  <si>
    <t>A genome-wide association study identifies two new lung cancer susceptibility loci at 13q12.12 and 22q12.2 in Han Chinese.</t>
  </si>
  <si>
    <t>212 Japanese cases, 765 Japanese controls</t>
  </si>
  <si>
    <t>Variation in the DEPDC5 locus is associated with progression to hepatocellular carcinoma in chronic hepatitis C virus carriers.</t>
  </si>
  <si>
    <t>475 European male cases, 517 European male controls, 1416 female cases, 1359 female controls</t>
  </si>
  <si>
    <t>Genome-wide association study identifies common variants associated with circulating vitamin E levels.</t>
  </si>
  <si>
    <t>Identification of nine novel loci associated with white blood cell subtypes in a Japanese population.</t>
  </si>
  <si>
    <t>Genome-wide association study of white blood cell count in 16,388 African Americans: the continental origins and genetic epidemiology network (COGENT).</t>
  </si>
  <si>
    <t>Genome-wide association of bipolar disorder suggests an enrichment of replicable associations in regions near genes.</t>
  </si>
  <si>
    <t>Web-based genome-wide association study identifies two novel loci and a substantial genetic component for Parkinson's disease.</t>
  </si>
  <si>
    <t>Identification of a sudden cardiac death susceptibility locus at 2q24.2 through genome-wide association in European ancestry individuals.</t>
  </si>
  <si>
    <t>754 long-living German individuals, 860 young German individuals</t>
  </si>
  <si>
    <t>Mech Ageing Dev</t>
  </si>
  <si>
    <t>A genome-wide association study confirms APOE as the major gene influencing survival in long-lived individuals.</t>
  </si>
  <si>
    <t>Genome-wide association study identifies new prostate cancer susceptibility loci.</t>
  </si>
  <si>
    <t>Seven prostate cancer susceptibility loci identified by a multi-stage genome-wide association study.</t>
  </si>
  <si>
    <t>Interaction between ERAP1 and HLA-B27 in ankylosing spondylitis implicates peptide handling in the mechanism for HLA-B27 in disease susceptibility.</t>
  </si>
  <si>
    <t>Association between genetic variation in a region on chromosome 11 and schizophrenia in large samples from Europe.</t>
  </si>
  <si>
    <t>European genome-wide association study identifies SLC14A1 as a new urinary bladder cancer susceptibility gene.</t>
  </si>
  <si>
    <t>A genome-wide association study of chronic hepatitis B identified novel risk locus in a Japanese population.</t>
  </si>
  <si>
    <t>Genome-wide scan identifies TNIP1, PSORS1C1, and RHOB as novel risk loci for systemic sclerosis.</t>
  </si>
  <si>
    <t>Genomewide association scan of suicidal thoughts and behaviour in major depression.</t>
  </si>
  <si>
    <t>83 African American lymphoblastoid cell lines, 176 African lymphoblastoid cell lines</t>
  </si>
  <si>
    <t>Genome-wide local ancestry approach identifies genes and variants associated with chemotherapeutic susceptibility in African Americans.</t>
  </si>
  <si>
    <t>Identification of cis- and trans-Acting Genetic Variants Explaining Up to Half the Variation in Circulating Vascular Endothelial Growth Factor Levels.</t>
  </si>
  <si>
    <t>Association of {gamma}' Fibrinogen With Cardiovascular Disease.</t>
  </si>
  <si>
    <t>Meta-analysis of new genome-wide association studies of colorectal cancer risk.</t>
  </si>
  <si>
    <t>A genome-wide association study of hepatitis B vaccine response in an Indonesian population reveals multiple independent risk variants in the HLA region.</t>
  </si>
  <si>
    <t>Genome-wide association study for serum urate concentrations and gout among African Americans identifies genomic risk loci and a novel URAT1 loss-of-function allele.</t>
  </si>
  <si>
    <t>188 Bulgarian cases, 376 Bulgarian controls</t>
  </si>
  <si>
    <t>122 Bulgarian cases, 328 Bulgarian controls</t>
  </si>
  <si>
    <t>Genome-wide association study on bipolar disorder in the Bulgarian population.</t>
  </si>
  <si>
    <t>382 young-onset-hypertensive Han Chinese</t>
  </si>
  <si>
    <t>559 young-onset-hypertensive Han Chinese</t>
  </si>
  <si>
    <t>A Genome-Wide Association Study Reveals a Quantitative Trait Locus of Adiponectin on CDH13 That Predicts Cardiometabolic Outcomes.</t>
  </si>
  <si>
    <t>Genome-wide association study identifies novel restless legs syndrome susceptibility loci on 2p14 and 16q12.1.</t>
  </si>
  <si>
    <t>Identification of novel genetic markers associated with clinical phenotypes of systemic sclerosis through a genome-wide association strategy.</t>
  </si>
  <si>
    <t>Genetic determinants of cardiovascular events among women with migraine: a genome-wide association study.</t>
  </si>
  <si>
    <t>A genome-wide association study of aging.</t>
  </si>
  <si>
    <t>Genome-wide association study of the child behavior checklist dysregulation profile.</t>
  </si>
  <si>
    <t>Association of HFE and TMPRSS6 genetic variants with iron and erythrocyte parameters is only in part dependent on serum hepcidin concentrations.</t>
  </si>
  <si>
    <t>80 Japanese cases, 194 Japanese controls</t>
  </si>
  <si>
    <t>Interstitial lung disease in gefitinib-treated Japanese patients with non-small-cell lung cancer: genome-wide analysis of genetic data.</t>
  </si>
  <si>
    <t>FASEB J</t>
  </si>
  <si>
    <t>Identification of new schizophrenia susceptibility loci in an ethnically homogeneous, family-based, Arab-Israeli sample.</t>
  </si>
  <si>
    <t>67 Japanese cases, 203 Japanese controls</t>
  </si>
  <si>
    <t>48 Japanese cases</t>
  </si>
  <si>
    <t>Genome-wide association study of epirubicin-induced leukopenia in Japanese patients.</t>
  </si>
  <si>
    <t>793 Han Chinese cases, 806 Han Chinese controls</t>
  </si>
  <si>
    <t>A genome-wide association study confirms previously reported Loci for type 2 diabetes in han chinese.</t>
  </si>
  <si>
    <t>Orphanet J Rare Dis</t>
  </si>
  <si>
    <t>Genome-Wide Association study of Stevens-Johnson Syndrome and Toxic Epidermal Necrolysis in Europe.</t>
  </si>
  <si>
    <t>Common variation at 10p12.31 near MLLT10 influences meningioma risk.</t>
  </si>
  <si>
    <t>Genome-wide association study identifies three new susceptibility loci for adult asthma in the Japanese population.</t>
  </si>
  <si>
    <t>Affymetrix &amp; Illumina [&gt;2 million] (imputed)</t>
  </si>
  <si>
    <t>Meta-analysis of genome-wide association studies of asthma in ethnically diverse North American populations.</t>
  </si>
  <si>
    <t>Combined analysis of three genome-wide association studies on vWF and FVIII plasma levels.</t>
  </si>
  <si>
    <t>72 Thai nevirapine-induced rash patients, 77 Thai nevirapine-tolerant rash patients</t>
  </si>
  <si>
    <t>88 Thai nevirapine-induced rash patients, 145 nevirapine-tolerant patients</t>
  </si>
  <si>
    <t>Genome-wide Association Study Identifies Variations in 6p21.3 Associated With Nevirapine-Induced Rash.</t>
  </si>
  <si>
    <t>Genome-Wide Association Scan in HIV-1-Infected Individuals Identifying Variants Influencing Disease Course.</t>
  </si>
  <si>
    <t>Genome-Wide Association Study Identifies HLA-DP as a Susceptibility Gene for Pediatric Asthma in Asian Populations.</t>
  </si>
  <si>
    <t>Genetic Loci Associated with Plasma Phospholipid n-3 Fatty Acids: A Meta-Analysis of Genome-Wide Association Studies from the CHARGE Consortium.</t>
  </si>
  <si>
    <t>Genome-Wide Association Analysis of Incident Coronary Heart Disease (CHD) in African Americans: A Short Report.</t>
  </si>
  <si>
    <t>Functional SNPs in the lymphotoxin-alpha gene that are associated with</t>
  </si>
  <si>
    <t>Association of single-nucleotide polymorphisms in the polymeric immunoglobulin</t>
  </si>
  <si>
    <t xml:space="preserve">Association of solute carrier family 12 (sodium/chloride) member 3 with diabetic </t>
  </si>
  <si>
    <t>J Carcinog</t>
  </si>
  <si>
    <t>Polymorphisms of the BRAF gene predispose males to malignant melanoma.</t>
  </si>
  <si>
    <t xml:space="preserve">Association of a single-nucleotide polymorphism in the immunoglobulin mu-binding </t>
  </si>
  <si>
    <t xml:space="preserve">Large-scale association study identifies ICAM gene region as breast and prostate </t>
  </si>
  <si>
    <t>Association of the NuMA region on chromosome 11q13 with breast cancer</t>
  </si>
  <si>
    <t>Association between a variation in the phosphodiesterase 4D gene and bone mineral</t>
  </si>
  <si>
    <t xml:space="preserve">Genetic variations in the gene encoding ELMO1 are associated with susceptibility </t>
  </si>
  <si>
    <t>Genetic variations in the gene encoding TFAP2B are associated with type 2</t>
  </si>
  <si>
    <t>Genetic polymorphisms in DPF3 associated with risk of breast cancer and lymph</t>
  </si>
  <si>
    <t xml:space="preserve">A model of prediction system for adverse cardiovascular reactions by calcineurin </t>
  </si>
  <si>
    <t>Single nucleotide polymorphisms in TNFSF15 confer susceptibility to Crohn's</t>
  </si>
  <si>
    <t>Identification of the semaphorin receptor PLXNA2 as a candidate for</t>
  </si>
  <si>
    <t>Association between a variation in LRCH1 and knee osteoarthritis: a genome-wide</t>
  </si>
  <si>
    <t>Association of the PDCD5 locus with lung cancer risk and prognosis in smokers.</t>
  </si>
  <si>
    <t>Identification of a novel non-coding RNA, MIAT, that confers risk of myocardial</t>
  </si>
  <si>
    <t>Genomic DNA pooling for whole-genome association scans in complex disease:</t>
  </si>
  <si>
    <t>Identification of the genetic basis for complex disorders by use of pooling-based</t>
  </si>
  <si>
    <t>Functional single-nucleotide polymorphisms in the secretogranin III (SCG3) gene</t>
  </si>
  <si>
    <t>A nonsynonymous SNP in PRKCH (protein kinase C eta) increases the risk of</t>
  </si>
  <si>
    <t>A functional SNP in ITIH3 is associated with susceptibility to myocardial</t>
  </si>
  <si>
    <t>Functional SNP in an Sp1-binding site of AGTRL1 gene is associated with</t>
  </si>
  <si>
    <t>A genome-wide approach to identify genetic variants that contribute to</t>
  </si>
  <si>
    <t>Sequence variants in the genes for the interleukin-23 receptor (IL23R) and its</t>
  </si>
  <si>
    <t xml:space="preserve">Polymorphisms in the 3' UTR in the neurocalcin delta gene affect mRNA stability, </t>
  </si>
  <si>
    <t>Quantitative trait locus association scan of early reading disability and ability</t>
  </si>
  <si>
    <t>Identification of genetic variants contributing to cisplatin-induced cytotoxicity</t>
  </si>
  <si>
    <t>Association of single-nucleotide polymorphisms in MTMR9 gene with obesity.</t>
  </si>
  <si>
    <t>Population genomics of human gene expression.</t>
  </si>
  <si>
    <t>A genome-wide association study of global gene expression.</t>
  </si>
  <si>
    <t>A survey of genetic human cortical gene expression.</t>
  </si>
  <si>
    <t>High-density association study and nomination of susceptibility genes for</t>
  </si>
  <si>
    <t>Identification of a significant association of a single nucleotide polymorphism</t>
  </si>
  <si>
    <t>Identification of human minor histocompatibility antigens based on genetic</t>
  </si>
  <si>
    <t>A common genetic variant in the neurexin superfamily member CNTNAP2 increases</t>
  </si>
  <si>
    <t xml:space="preserve">A functional SNP in the NKX2.5-binding site of ITPR3 promoter is associated with </t>
  </si>
  <si>
    <t>Genetics of gene expression and its effect on disease.</t>
  </si>
  <si>
    <t>Genetic variants contributing to daunorubicin-induced cytotoxicity.</t>
  </si>
  <si>
    <t>PLoS Biol</t>
  </si>
  <si>
    <t>Mapping the genetic architecture of gene expression in human liver.</t>
  </si>
  <si>
    <t xml:space="preserve">Concordant gene expression in leukemia cells and normal leukocytes is associated </t>
  </si>
  <si>
    <t>Genetic variation in PSCA is associated with susceptibility to diffuse-type</t>
  </si>
  <si>
    <t>Common variants in DVWA on chromosome 3p24.3 are associated with susceptibility</t>
  </si>
  <si>
    <t>Mol Cancer Ther</t>
  </si>
  <si>
    <t>Genetic variants associated with carboplatin-induced cytotoxicity in cell lines</t>
  </si>
  <si>
    <t>J Exp Med</t>
  </si>
  <si>
    <t xml:space="preserve">Toward targeting B cell cancers with CD4+ CTLs: identification of a CD19-encoded </t>
  </si>
  <si>
    <t>Linkage and association analyses of longitudinally measured lipid phenotypes in</t>
  </si>
  <si>
    <t xml:space="preserve">Genome-wide association study identifies two novel loci containing FLNB and SBF2 </t>
  </si>
  <si>
    <t>Complex nature of SNP genotype effects on gene expression in primary human</t>
  </si>
  <si>
    <t>Identification of susceptibility genes for complex diseases using pooling-based</t>
  </si>
  <si>
    <t>Tissue-specific genetic control of splicing: implications for the study of</t>
  </si>
  <si>
    <t>ITGAM is associated with disease susceptibility and renal nephritis of systemic</t>
  </si>
  <si>
    <t>Newly discovered breast cancer susceptibility loci on 3p24 and 17q23.2.</t>
  </si>
  <si>
    <t>BMC Res Notes</t>
  </si>
  <si>
    <t>Large scale genotyping study for asthma in the Japanese population.</t>
  </si>
  <si>
    <t>Genetic control of human brain transcript expression in Alzheimer disease.</t>
  </si>
  <si>
    <t>Conditional linkage and genome-wide association studies identify UGT1A1 as a</t>
  </si>
  <si>
    <t>Genome-wide analysis of survival in early-stage non-small-cell lung cancer.</t>
  </si>
  <si>
    <t>Copy number variation at 1q21.1 associated with neuroblastoma.</t>
  </si>
  <si>
    <t>Br J Psychiatry</t>
  </si>
  <si>
    <t>Genetic utility of broadly defined bipolar schizoaffective disorder as a</t>
  </si>
  <si>
    <t>Common regulatory variation impacts gene expression in a cell type-dependent</t>
  </si>
  <si>
    <t>Population genomics in a disease targeted primary cell model.</t>
  </si>
  <si>
    <t xml:space="preserve">Multi-ethnic genetic association study of carotid intima-media thickness using a </t>
  </si>
  <si>
    <t>Tissue effect on genetic control of transcript isoform variation.</t>
  </si>
  <si>
    <t>Neth Heart J</t>
  </si>
  <si>
    <t>A genome wide association analysis in the GENDER study.</t>
  </si>
  <si>
    <t>Identification of novel candidate genes for treatment response to risperidone and</t>
  </si>
  <si>
    <t>Gemcitabine and arabinosylcytosin pharmacogenomics: genome-wide association and</t>
  </si>
  <si>
    <t>Evaluation of candidate genes in a genome-wide association study of childhood</t>
  </si>
  <si>
    <t>Gene-centric association signals for lipids and apolipoproteins identified via</t>
  </si>
  <si>
    <t>Whole-genome linkage and association scan in primary, nonsyndromic vesicoureteric</t>
  </si>
  <si>
    <t>Geographical genomics of human leukocyte gene expression variation in southern</t>
  </si>
  <si>
    <t>Functional SNP of ARHGEF10 confers risk of atherothrombotic stroke.</t>
  </si>
  <si>
    <t>Multistage genomewide association study identifies a locus at 1q41 associated</t>
  </si>
  <si>
    <t>Magnitude of stratification in human populations and impacts on genome wide</t>
  </si>
  <si>
    <t>Application of gene network analysis techniques identifies AXIN1/PDIA2 and</t>
  </si>
  <si>
    <t>A weighted false discovery rate control procedure reveals alleles at FOXA2 that</t>
  </si>
  <si>
    <t>A genomewide association study of nicotine and alcohol dependence in Australian</t>
  </si>
  <si>
    <t>Allelic skewing of DNA methylation is widespread across the genome.</t>
  </si>
  <si>
    <t>Comput Stat Data Anal</t>
  </si>
  <si>
    <t>A Fast Implementation of a Scan Statistic for Identifying Chromosomal Patterns of</t>
  </si>
  <si>
    <t>Genome-wide analysis reveals novel genes influencing temporal lobe structure with</t>
  </si>
  <si>
    <t>J Child Psychol Psychiatry</t>
  </si>
  <si>
    <t xml:space="preserve">In search of genes associated with risk for psychopathic tendencies in children: </t>
  </si>
  <si>
    <t>Semin Nephrol</t>
  </si>
  <si>
    <t>Insights to the genetics of diabetic nephropathy through a genome-wide</t>
  </si>
  <si>
    <t>The FOXE1 locus is a major genetic determinant for radiation-related thyroid</t>
  </si>
  <si>
    <t>Whole-genome association mapping of gene expression in the human prefrontal</t>
  </si>
  <si>
    <t>TMEM132D, a new candidate for anxiety phenotypes: evidence from human and mouse</t>
  </si>
  <si>
    <t>Distinct variants at LIN28B influence growth in height from birth to adulthood.</t>
  </si>
  <si>
    <t>Abundant quantitative trait loci exist for DNA methylation and gene expression in</t>
  </si>
  <si>
    <t>Genetics and beyond--the transcriptome of human monocytes and disease</t>
  </si>
  <si>
    <t>A combined genome-wide linkage and association approach to find susceptibility</t>
  </si>
  <si>
    <t>Association of CR1, CLU and PICALM with Alzheimer's disease in a cohort of</t>
  </si>
  <si>
    <t>Genetic variation in hyaluronan metabolism loci is associated with plasma</t>
  </si>
  <si>
    <t>J Steroid Biochem Mol Biol</t>
  </si>
  <si>
    <t xml:space="preserve">Genome-wide association study of vitamin D concentrations in Hispanic Americans: </t>
  </si>
  <si>
    <t>A genomewide association study of citalopram response in major depressive</t>
  </si>
  <si>
    <t>Diabetes Care</t>
  </si>
  <si>
    <t>Variation at the NFATC2 locus increases the risk of thiazolidinedione-induced</t>
  </si>
  <si>
    <t>Genome-wide association of serum bilirubin levels in Korean population.</t>
  </si>
  <si>
    <t>Genome wide linkage study, using a 250K SNP map, of Plasmodium falciparum</t>
  </si>
  <si>
    <t>Heritability in the efficiency of nonsense-mediated mRNA decay in humans.</t>
  </si>
  <si>
    <t>J Biomed Biotechnol</t>
  </si>
  <si>
    <t>Promoter variant of PIK3C3 is associated with autoimmunity against Ro and Sm</t>
  </si>
  <si>
    <t>Multiple-cohort genetic association study reveals CXCR6 as a new chemokine</t>
  </si>
  <si>
    <t>The role of genetic variation near interferon-kappa in systemic lupus</t>
  </si>
  <si>
    <t>Meta-analysis of genome-wide association studies of</t>
  </si>
  <si>
    <t>Genet Epidemiol</t>
  </si>
  <si>
    <t>A Bayesian approach to genetic association studies with family-based designs.</t>
  </si>
  <si>
    <t>A whole-genome SNP association study of NCI60 cell line panel indicates a role of</t>
  </si>
  <si>
    <t>Mapping of numerous disease-associated expression polymorphisms in primary</t>
  </si>
  <si>
    <t>Strong interaction between the effects of alcohol consumption and smoking on</t>
  </si>
  <si>
    <t>An immune response network associated with blood lipid levels.</t>
  </si>
  <si>
    <t>Inflamm Bowel Dis</t>
  </si>
  <si>
    <t>Genetic predictors of medically refractory ulcerative colitis.</t>
  </si>
  <si>
    <t>Association analyses identify six new psoriasis susceptibility loci in the</t>
  </si>
  <si>
    <t xml:space="preserve">Genetic association study identifies HSPB7 as a risk gene for idiopathic dilated </t>
  </si>
  <si>
    <t xml:space="preserve">Association of genomic loci from a cardiovascular gene SNP array with fibrinogen </t>
  </si>
  <si>
    <t>Hum Genomics Proteomics</t>
  </si>
  <si>
    <t>Genome-wide linkage and association scans for quantitative trait Loci of serum</t>
  </si>
  <si>
    <t>Genome-wide association study of suicide attempts in mood disorder patients.</t>
  </si>
  <si>
    <t>Genetic architecture of ambulatory blood pressure in the general population:</t>
  </si>
  <si>
    <t>High-throughput characterization of 10 new minor histocompatibility antigens by</t>
  </si>
  <si>
    <t>Dependency of phenprocoumon dosage on polymorphisms in the VKORC1, CYP2C9, and</t>
  </si>
  <si>
    <t>Leukemia</t>
  </si>
  <si>
    <t>A genome-wide approach identifies that the aspartate metabolism pathway</t>
  </si>
  <si>
    <t>Collagen-related genes influence the glaucoma risk factor, central corneal</t>
  </si>
  <si>
    <t>J Pers Soc Psychol</t>
  </si>
  <si>
    <t>An alternative to the search for single polymorphisms: toward molecular</t>
  </si>
  <si>
    <t>Gene expression in skin and lymphoblastoid cells: Refined statistical method</t>
  </si>
  <si>
    <t>Allowing for sex differences increases power in a GWAS of multiplex Autism</t>
  </si>
  <si>
    <t>Genetic association analysis highlights new loci that modulate hematological</t>
  </si>
  <si>
    <t>A genome-wide association study suggests contrasting associations in</t>
  </si>
  <si>
    <t>Meta-analysis of Dense Genecentric Association Studies Reveals Common and</t>
  </si>
  <si>
    <t>BMC Dermatol</t>
  </si>
  <si>
    <t>Psoriasis prediction from genome-wide SNP profiles.</t>
  </si>
  <si>
    <t xml:space="preserve">Co-regulatory expression quantitative trait loci mapping: method and application </t>
  </si>
  <si>
    <t>A regulatory SNP in AKAP13 is associated with blood pressure in Koreans.</t>
  </si>
  <si>
    <t>An application of the elastic net for an endophenotype analysis.</t>
  </si>
  <si>
    <t>Genetic association and sequencing of the insulin-like growth factor 1 gene in</t>
  </si>
  <si>
    <t xml:space="preserve">Novel chemosensitive single-nucleotide polymorphism markers to targeted regimens </t>
  </si>
  <si>
    <t>Genome Biol</t>
  </si>
  <si>
    <t xml:space="preserve">DNA methylation patterns associate with genetic and gene expression variation in </t>
  </si>
  <si>
    <t>ANGPT2 genetic variant is associated with trauma-associated acute lung injury and</t>
  </si>
  <si>
    <t>Cyclin-G-associated kinase modifies alpha-synuclein expression levels and</t>
  </si>
  <si>
    <t>Large-scale candidate gene analysis of HDL particle features.</t>
  </si>
  <si>
    <t>BMC Genomics</t>
  </si>
  <si>
    <t>Bimodal distribution of RNA expression levels in human skeletal muscle tissue.</t>
  </si>
  <si>
    <t xml:space="preserve">The architecture of gene regulatory variation across multiple human tissues: the </t>
  </si>
  <si>
    <t>Bioinformatic analyses identifies novel protein-coding pharmacogenomic markers</t>
  </si>
  <si>
    <t>Reprod Biomed Online</t>
  </si>
  <si>
    <t>Genome-wide analysis shows no genomic predictors of ovarian response to</t>
  </si>
  <si>
    <t>A knowledge-driven interaction analysis reveals potential neurodegenerative</t>
  </si>
  <si>
    <t>Aging Cell</t>
  </si>
  <si>
    <t>Genome-wide association study identifies a single major locus contributing to</t>
  </si>
  <si>
    <t>Combined admixture mapping and association analysis identifies a novel blood</t>
  </si>
  <si>
    <t>The efficacy of detecting variants with small effects on the Affymetrix 6.0</t>
  </si>
  <si>
    <t xml:space="preserve">Bivariate association analysis in selected samples: application to a GWAS of two </t>
  </si>
  <si>
    <t xml:space="preserve">Phenotype restricted genome-wide association study using a gene-centric approach </t>
  </si>
  <si>
    <t>Genetic architecture of circulating lipid levels.</t>
  </si>
  <si>
    <t>Genetic predisposition for sudden cardiac death in myocardial ischaemia: the</t>
  </si>
  <si>
    <t>NCI60 cancer cell line panel data and RNAi analysis help identify EAF2 as a</t>
  </si>
  <si>
    <t>Genome-wide association study identifies genetic loci associated with iron</t>
  </si>
  <si>
    <t>Am J Epidemiol</t>
  </si>
  <si>
    <t>Impact of phenotype definition on genome-wide association signals: empirical</t>
  </si>
  <si>
    <t>Hearing function and thresholds: a genome-wide association study in European</t>
  </si>
  <si>
    <t>Int J Data Min Bioinform</t>
  </si>
  <si>
    <t>Integrated analysis of pharmacologic, clinical and SNP microarray data using</t>
  </si>
  <si>
    <t>Psychiatry Investig</t>
  </si>
  <si>
    <t>Genome-wide association scan of korean autism spectrum disorders with language</t>
  </si>
  <si>
    <t xml:space="preserve">Genetic variants associated with Von Willebrand factor levels in healthy men and </t>
  </si>
  <si>
    <t>Enhanced statistical tests for GWAS in admixed populations: assessment using</t>
  </si>
  <si>
    <t xml:space="preserve">Genes involved in vasoconstriction and vasodilation system affect salt-sensitive </t>
  </si>
  <si>
    <t xml:space="preserve">Knowledge-driven multi-locus analysis reveals gene-gene interactions influencing </t>
  </si>
  <si>
    <t xml:space="preserve">Meta analysis of candidate gene variants outside the LPA locus with Lp(a) plasma </t>
  </si>
  <si>
    <t>A survey of the genetics of stomach, liver, and adipose gene expression from a</t>
  </si>
  <si>
    <t xml:space="preserve">Evidence for gene-environment interaction in a genome wide study of nonsyndromic </t>
  </si>
  <si>
    <t>Identification, replication, and functional fine-mapping of expression</t>
  </si>
  <si>
    <t>Chemotherapeutic-induced apoptosis: a phenotype for pharmacogenomics studies.</t>
  </si>
  <si>
    <t>Myelin basic protein as a novel genetic risk factor in rheumatoid arthritis--a</t>
  </si>
  <si>
    <t>A gene-centric association scan for Coagulation Factor VII levels in European and</t>
  </si>
  <si>
    <t>Identification of a functional rare variant in autism using genome-wide screen</t>
  </si>
  <si>
    <t>Genome-wide association analysis of age at onset in schizophrenia in a</t>
  </si>
  <si>
    <t>RNA Biol</t>
  </si>
  <si>
    <t>Population differences in microRNA expression and biological implications.</t>
  </si>
  <si>
    <t>Variation in human recombination rates and its genetic determinants.</t>
  </si>
  <si>
    <t>Platinum Sensitivity-Related Germline Polymorphism Discovered via a Cell-Based</t>
  </si>
  <si>
    <t>Pathway-based analysis of genetic susceptibility to cervical cancer in situ:</t>
  </si>
  <si>
    <t xml:space="preserve">Genome Wide Association Study to predict severe asthma exacerbations in children </t>
  </si>
  <si>
    <t>Wnt signaling and Dupuytren's disease.</t>
  </si>
  <si>
    <t>Anticancer Res</t>
  </si>
  <si>
    <t>Identification of polymorphisms associated with hypertriglyceridemia and</t>
  </si>
  <si>
    <t>A polymorphism in the splice donor site of ZNF419 results in the novel renal cell</t>
  </si>
  <si>
    <t>Pathway-based association analyses identified TRAIL pathway for osteoporotic</t>
  </si>
  <si>
    <t>Evidence for age as a modifier of genetic associations for lipid levels.</t>
  </si>
  <si>
    <t>The Use of Genome-Wide eQTL Associations in Lymphoblastoid Cell Lines to Identify</t>
  </si>
  <si>
    <t>Mol Biol (Mosk)</t>
  </si>
  <si>
    <t>[Genome-wide association study of allergic diseases in Russians of Western</t>
  </si>
  <si>
    <t>Common variants at VRK2 and TCF4 conferring risk of schizophrenia.</t>
  </si>
  <si>
    <t>Practical issues in genome-wide association studies for physical activity.</t>
  </si>
  <si>
    <t>Allelic heterogeneity and more detailed analyses of known loci explain additional</t>
  </si>
  <si>
    <t>Association of genetic variants on 15q12 with cortical thickness and cognition in</t>
  </si>
  <si>
    <t xml:space="preserve">Genome-Wide association study identifies candidate genes for Parkinson's disease </t>
  </si>
  <si>
    <t>Genomic Regions Identified by Overlapping Clusters of Nominally-Positive SNPs</t>
  </si>
  <si>
    <t>A comparison of strategies for analyzing dichotomous outcomes in genome-wide</t>
  </si>
  <si>
    <t>A genome-wide association study of bladder cancer identifies a new susceptibility</t>
  </si>
  <si>
    <t>Genome-wide association studies establish that human intelligence is highly</t>
  </si>
  <si>
    <t>Muscle Nerve</t>
  </si>
  <si>
    <t>Combinations of newly confirmed Glioma-Associated loci link regions on</t>
  </si>
  <si>
    <t>Common variants in RYR1 are associated with left ventricular hypertrophy assessed</t>
  </si>
  <si>
    <t>Trans-eQTLs Reveal That Independent Genetic Variants Associated with a Complex</t>
  </si>
  <si>
    <t>Genetic risk and a primary role for cell-mediated immune mechanisms in multiple</t>
  </si>
  <si>
    <t>GWAS Findings for Human Iris Patterns: Associations with Variants in Genes that</t>
  </si>
  <si>
    <t>A genome-wide association study identifies two new risk loci for Graves' disease.</t>
  </si>
  <si>
    <t>Exp Mol Med</t>
  </si>
  <si>
    <t>Genome-wide meta-analysis identifies variants associated with platinating agent</t>
  </si>
  <si>
    <t>Large-Scale Candidate Gene Analysis in Whites and African-Americans Identifies</t>
  </si>
  <si>
    <t>Hum Hered</t>
  </si>
  <si>
    <t>Including Additional Controls from Public Databases Improves the Power of a</t>
  </si>
  <si>
    <t>Discovery of sexual dimorphisms in metabolic and genetic biomarkers.</t>
  </si>
  <si>
    <t>GWAS of butyrylcholinesterase activity identifies four novel loci, independent</t>
  </si>
  <si>
    <t>Metabolic and genetic predictors of circulating adipocyte fatty acid-binding</t>
  </si>
  <si>
    <t>A Variant in MCF2L Is Associated with Osteoarthritis.</t>
  </si>
  <si>
    <t>Genome-Wide Association Identifies Nine Common Variants Associated With Fasting</t>
  </si>
  <si>
    <t>Genome-wide association study in individuals of South Asian ancestry identifies</t>
  </si>
  <si>
    <t>Confirmation of prior evidence of genetic susceptibility to alcoholism in a</t>
  </si>
  <si>
    <t>Genome-wide association analysis of coffee drinking suggests association with</t>
  </si>
  <si>
    <t>Genome-Wide Gene-Environment Study Identifies Glutamate Receptor Gene GRIN2A as a</t>
  </si>
  <si>
    <t>A genome-wide association study identifies a region at chromosome 12 as a</t>
  </si>
  <si>
    <t>Genome-Wide Association Study of Circulating Retinol Levels.</t>
  </si>
  <si>
    <t>Protein Interaction-Based Genome-Wide Analysis of Incident Coronary Heart</t>
  </si>
  <si>
    <t>Human metabolic individuality in biomedical and pharmaceutical research.</t>
  </si>
  <si>
    <t>Genome-wide association study of HPV seropositivity.</t>
  </si>
  <si>
    <t xml:space="preserve">Genes linked to energy metabolism and immunoregulatory mechanisms are associated </t>
  </si>
  <si>
    <t>Genetic variants, plasma lipoprotein(a) levels, and risk of cardiovascular</t>
  </si>
  <si>
    <t>Genome-wide association study identifies genetic variants in GOT1 determining</t>
  </si>
  <si>
    <t>Identification of independent risk loci for Graves' disease within the MHC in the</t>
  </si>
  <si>
    <t>Genome-Wide Detection of Allele Specific Copy Number Variation Associated with</t>
  </si>
  <si>
    <t>502 EA cases, 450 EA controls</t>
  </si>
  <si>
    <t>465 Japanese cases, 634 Japanese controls</t>
  </si>
  <si>
    <t>188 Japanese cases, 470 Japanese controls</t>
  </si>
  <si>
    <t>[HapMap] 387417</t>
  </si>
  <si>
    <t>[HapMap] 2286186</t>
  </si>
  <si>
    <t>Cai</t>
  </si>
  <si>
    <t>Huffman</t>
  </si>
  <si>
    <t>Arakawa</t>
  </si>
  <si>
    <t>Lemaire</t>
  </si>
  <si>
    <t>Thoracic aortic aneurysms and aortic dissections</t>
  </si>
  <si>
    <t>Carotid intima-media thickness and plaque</t>
  </si>
  <si>
    <t>Bis</t>
  </si>
  <si>
    <t>Pulse pressure and mean arterial pressure</t>
  </si>
  <si>
    <t>Wain</t>
  </si>
  <si>
    <t>Ehret</t>
  </si>
  <si>
    <t>Tohkin</t>
  </si>
  <si>
    <t>Rotger</t>
  </si>
  <si>
    <t>Gene expression in CD4+ T cells in HIV-1 infected individuals</t>
  </si>
  <si>
    <t>Ghosh</t>
  </si>
  <si>
    <t>Galvan</t>
  </si>
  <si>
    <t>Platelet CD36 surface expression</t>
  </si>
  <si>
    <t>Pain relief with opioid treatment</t>
  </si>
  <si>
    <t>Brehm</t>
  </si>
  <si>
    <t>94 Japanese MI cases, 658 Japanese controls</t>
  </si>
  <si>
    <t>389 Japanese IgAN patients and 465 Japanese controls</t>
  </si>
  <si>
    <t>484 Japanese CD patients and 345 Japanese controls</t>
  </si>
  <si>
    <t>254 Italian lung adenocarcinoma patients and 235 healthy controls</t>
  </si>
  <si>
    <t>322 male German smoking lung cancer patients and 273 healthy smoking controls</t>
  </si>
  <si>
    <t>268 cases, 178 controls in Ashkenazi Jewish pop</t>
  </si>
  <si>
    <t>94 cases, 658 controls in Japanese</t>
  </si>
  <si>
    <t>188 cases, 752 controls in Japanese</t>
  </si>
  <si>
    <t>1112 cases, 1112 controls in Japanese</t>
  </si>
  <si>
    <t>1659 Japanese subjects</t>
  </si>
  <si>
    <t>3464 cases, 3819 controls in Japanese</t>
  </si>
  <si>
    <t>Invader [81315]</t>
  </si>
  <si>
    <t>559 cases, 372 controls in Japanese</t>
  </si>
  <si>
    <t>93 cases, 649 controls Japanese</t>
  </si>
  <si>
    <t>Invader [62663]</t>
  </si>
  <si>
    <t>7428 EA, 2029 AA</t>
  </si>
  <si>
    <t>3825 EA, 1571 AA</t>
  </si>
  <si>
    <t>Affymetrix [331095 ]</t>
  </si>
  <si>
    <t>42 Korean ASD patients</t>
  </si>
  <si>
    <t>Affymetrix [372193]</t>
  </si>
  <si>
    <t>Affymetrix [684457]</t>
  </si>
  <si>
    <t>Sklar</t>
  </si>
  <si>
    <t>Ripke</t>
  </si>
  <si>
    <t>Cheung</t>
  </si>
  <si>
    <t>Shaffer</t>
  </si>
  <si>
    <t>Meschia</t>
  </si>
  <si>
    <t>Hetterna</t>
  </si>
  <si>
    <t>Artigas</t>
  </si>
  <si>
    <t>Lei</t>
  </si>
  <si>
    <t>Gene expression in treated osteoblasts</t>
  </si>
  <si>
    <t>Romanoski</t>
  </si>
  <si>
    <t>Zuo</t>
  </si>
  <si>
    <t>Squassina</t>
  </si>
  <si>
    <t>Visscher</t>
  </si>
  <si>
    <t>Qiu</t>
  </si>
  <si>
    <t>Gene expression in sputum</t>
  </si>
  <si>
    <t>Borel</t>
  </si>
  <si>
    <t>Trompet</t>
  </si>
  <si>
    <t xml:space="preserve">Keratoconus </t>
  </si>
  <si>
    <t>Bradfield</t>
  </si>
  <si>
    <t>Germain</t>
  </si>
  <si>
    <t>Macgregor</t>
  </si>
  <si>
    <t>Qin</t>
  </si>
  <si>
    <t>Drago</t>
  </si>
  <si>
    <t>Kuparinen</t>
  </si>
  <si>
    <t>Tantisira</t>
  </si>
  <si>
    <t>Das</t>
  </si>
  <si>
    <t>N'diaye</t>
  </si>
  <si>
    <t>Ohlsson</t>
  </si>
  <si>
    <t>Grallert</t>
  </si>
  <si>
    <t>Frank</t>
  </si>
  <si>
    <t>Alzheimer's disease with psychotic symptoms</t>
  </si>
  <si>
    <t>Kamboh</t>
  </si>
  <si>
    <t>Schroder</t>
  </si>
  <si>
    <t>Melka</t>
  </si>
  <si>
    <t>Affymetrix [~2.2 million] (imputed)</t>
  </si>
  <si>
    <t>14 Japanese cases, 991 Japanese controls</t>
  </si>
  <si>
    <t>Identification of IL6R and chromosome 11q13.5 as risk loci for asthma.</t>
  </si>
  <si>
    <t>Genome-wide association study identifies breast cancer risk variant at 10q21.2: results from the Asia Breast Cancer Consortium.</t>
  </si>
  <si>
    <t>Genome-wide association study identifies two susceptibility loci for exudative age-related macular degeneration in the Japanese population.</t>
  </si>
  <si>
    <t>Genome-wide association study identifies a susceptibility locus for thoracic aortic aneurysms and aortic dissections spanning FBN1 at 15q21.1.</t>
  </si>
  <si>
    <t>Meta-analysis of genome-wide association studies from the CHARGE consortium identifies common variants associated with carotid intima media thickness and plaque.</t>
  </si>
  <si>
    <t>Large-scale genome-wide association studies in east Asians identify new genetic loci influencing metabolic traits.</t>
  </si>
  <si>
    <t>Genome-wide association study identifies six new loci influencing pulse pressure and mean arterial pressure.</t>
  </si>
  <si>
    <t>Neuropsychobiology</t>
  </si>
  <si>
    <t>Convergent Genomic Studies Identify Association of GRIK2 and NPAS2 with Chronic Fatigue Syndrome.</t>
  </si>
  <si>
    <t>A whole-genome association study of major determinants for allopurinol-related Stevens-Johnson syndrome and toxic epidermal necrolysis in Japanese patients.</t>
  </si>
  <si>
    <t>Genome-wide association study identifies novel loci predisposing to cutaneous melanoma.</t>
  </si>
  <si>
    <t>Large-scale genome-wide association analysis of bipolar disorder identifies a new susceptibility locus near ODZ4</t>
  </si>
  <si>
    <t>Genome-wide association study identifies five new schizophrenia loci</t>
  </si>
  <si>
    <t>Genome-wide association study identifies four Loci associated with eruption of permanent teeth.</t>
  </si>
  <si>
    <t>Genome-Wide Population-Based Association Study of Extremely Overweight Young Adults - The GOYA Study.</t>
  </si>
  <si>
    <t>J Dent Res</t>
  </si>
  <si>
    <t>Genome-wide Association Scan for Childhood Caries Implicates Novel Genes.</t>
  </si>
  <si>
    <t>Siblings With Ischemic Stroke Study: Results of a Genome-Wide Scan for Stroke Loci.</t>
  </si>
  <si>
    <t>Genetic variants in LPL, OASL and TOMM40/APOE-C1-C2-C4 genes are associated with multiple cardiovascular-related traits.</t>
  </si>
  <si>
    <t>Genome-wide association and large-scale follow up identifies 16 new loci influencing lung function.</t>
  </si>
  <si>
    <t>Genome-wide association study identifies HMGN3 locus for spine bone size variation in Chinese.</t>
  </si>
  <si>
    <t>Genomic risk profiling of ischemic stroke: results of an international genome-wide association meta-analysis.</t>
  </si>
  <si>
    <t>Childhood dental caries</t>
  </si>
  <si>
    <t>LDL cholesterol</t>
  </si>
  <si>
    <t>Ventricular dysfunction after primary coronary artery bypass graft surgery</t>
  </si>
  <si>
    <t>Idiopathic premature ovarian failure</t>
  </si>
  <si>
    <t>Anti-cytomegalovirus antibody response</t>
  </si>
  <si>
    <t>Response to glucocorticoid therapy in asthma</t>
  </si>
  <si>
    <t>Lipoprotein-associated phospholipase A2 mass and activity; coronary heart disease</t>
  </si>
  <si>
    <t>Chronic fatigue syndrome</t>
  </si>
  <si>
    <t>Coronary heart disease</t>
  </si>
  <si>
    <t>Spine bone size</t>
  </si>
  <si>
    <t>446 never smoking Korean patients with NSCLC, 497 controls</t>
  </si>
  <si>
    <t>61 Japanese schizophrenia patients with treatment-resistant TD, 61 without TD</t>
  </si>
  <si>
    <t>Illumina [558 929]</t>
  </si>
  <si>
    <t>58 cases, 57 controls founder population of the Central Valley of Costa Rica descent</t>
  </si>
  <si>
    <t>1409 EA cases, 1518 EA controls and 681 AA cases, 508 AA controls</t>
  </si>
  <si>
    <t>391 Chinese cases, 895 Chinese controls</t>
  </si>
  <si>
    <t>400 Chinese cases, 800 Chinese controls</t>
  </si>
  <si>
    <t>Illumina [546 677]</t>
  </si>
  <si>
    <t>Won</t>
  </si>
  <si>
    <t>Carty</t>
  </si>
  <si>
    <t>Avery</t>
  </si>
  <si>
    <t>Gerrish</t>
  </si>
  <si>
    <t>Forstbauer</t>
  </si>
  <si>
    <t>Simonson</t>
  </si>
  <si>
    <t>Menke</t>
  </si>
  <si>
    <t>Brockschmidt</t>
  </si>
  <si>
    <t>Ramasamy</t>
  </si>
  <si>
    <t>Yue</t>
  </si>
  <si>
    <t>Crosslin</t>
  </si>
  <si>
    <t>Clark</t>
  </si>
  <si>
    <t>Foster</t>
  </si>
  <si>
    <t>Terraciano</t>
  </si>
  <si>
    <t>De Jager</t>
  </si>
  <si>
    <t>Bown</t>
  </si>
  <si>
    <t>Trynka</t>
  </si>
  <si>
    <t>Axenovich</t>
  </si>
  <si>
    <t>Galfalvy</t>
  </si>
  <si>
    <t>Morisaki</t>
  </si>
  <si>
    <t>Mitchell</t>
  </si>
  <si>
    <t>Granada</t>
  </si>
  <si>
    <t>Cozen</t>
  </si>
  <si>
    <t>Rantalainen</t>
  </si>
  <si>
    <t>Allen-Bradey</t>
  </si>
  <si>
    <t>Allebrandt</t>
  </si>
  <si>
    <t>Schrijvers</t>
  </si>
  <si>
    <t>Datta</t>
  </si>
  <si>
    <t>229 Hispanics</t>
  </si>
  <si>
    <t>1190 Hispanics</t>
  </si>
  <si>
    <t>Oldmeadow</t>
  </si>
  <si>
    <t>Leblanc</t>
  </si>
  <si>
    <t>Nam</t>
  </si>
  <si>
    <t>Genick</t>
  </si>
  <si>
    <t>Sanchez-Juan</t>
  </si>
  <si>
    <t>Creutzfeldt-Jakob disease</t>
  </si>
  <si>
    <t>Gieger</t>
  </si>
  <si>
    <t>Dalgaard</t>
  </si>
  <si>
    <t>Fan</t>
  </si>
  <si>
    <t>8841 Korean individuals</t>
  </si>
  <si>
    <t>1096 Korean individuals</t>
  </si>
  <si>
    <t>298 South Asian, 284 Chinese, 227 European, 284 Aboriginal peoples</t>
  </si>
  <si>
    <t>Paus</t>
  </si>
  <si>
    <t>Logue</t>
  </si>
  <si>
    <t>7551 Korean individuals</t>
  </si>
  <si>
    <t>3703 Korean individuals</t>
  </si>
  <si>
    <t>Psoriatic arthritis</t>
  </si>
  <si>
    <t>Kulminski</t>
  </si>
  <si>
    <t>Rankinen</t>
  </si>
  <si>
    <t>Lingappa</t>
  </si>
  <si>
    <t>Chan</t>
  </si>
  <si>
    <t>Jones</t>
  </si>
  <si>
    <t>Kiyotani</t>
  </si>
  <si>
    <t>Salvi</t>
  </si>
  <si>
    <t>Anantharaman</t>
  </si>
  <si>
    <t>Patsopoulos</t>
  </si>
  <si>
    <t>Stergiakouli</t>
  </si>
  <si>
    <t>Paternorster</t>
  </si>
  <si>
    <t>Non-obstructive azoospermia</t>
  </si>
  <si>
    <t>Ha</t>
  </si>
  <si>
    <t>Tekola Ayele</t>
  </si>
  <si>
    <t>Kerner</t>
  </si>
  <si>
    <t>Mead</t>
  </si>
  <si>
    <t>Athanasiadis</t>
  </si>
  <si>
    <t>2538 Singapore individuals</t>
  </si>
  <si>
    <t>2542 Singapore individuals</t>
  </si>
  <si>
    <t>4289 EA and 918 AA</t>
  </si>
  <si>
    <t>Affymetrix [326 977]</t>
  </si>
  <si>
    <t>94 Japanese cases, and 94 Japanese controls</t>
  </si>
  <si>
    <t>466 Japanese cases, and 266 Japanese controls</t>
  </si>
  <si>
    <t>553 Japanese cases, and 317 Japanese controls</t>
  </si>
  <si>
    <t>Invader [56648]</t>
  </si>
  <si>
    <t>72 Japanese patients, 246 Japanese controls</t>
  </si>
  <si>
    <t>Illumina [30920]</t>
  </si>
  <si>
    <t xml:space="preserve">965 Europeans who received rosiglitazone, 956 controls who received placebo </t>
  </si>
  <si>
    <t>Illumina [32088]</t>
  </si>
  <si>
    <t>254 German cases and 269 controls</t>
  </si>
  <si>
    <t>188 German cases and 150 controls, and 180 Australian cases and 180 controls</t>
  </si>
  <si>
    <t>61 AA with ALI and 161 AA without ALI</t>
  </si>
  <si>
    <t>600 EA ALI cases, 2266 controls</t>
  </si>
  <si>
    <t>Genetic variation predicting Cisplatin cytotoxicity associated with overall survival in lung cancer patients receiving platinum-based chemotherapy.</t>
  </si>
  <si>
    <t>Association of common variants in the human eyes shut ortholog (EYS) with statin-induced myopathy: evidence for additional functions of EYS.</t>
  </si>
  <si>
    <t>Genome-wide association analysis of autoantibody positivity in type 1 diabetes cases.</t>
  </si>
  <si>
    <t>Identification of SPOCK2 as a susceptibility gene for bronchopulmonary dysplasia.</t>
  </si>
  <si>
    <t>100 Korean cases, 600 Korean controls</t>
  </si>
  <si>
    <t>578 Korean cases, 711 Korean controls</t>
  </si>
  <si>
    <t>Common variants at the promoter region of the APOM confer a risk of rheumatoid arthritis.</t>
  </si>
  <si>
    <t>Genome-wide association study identifies three new melanoma susceptibility loci.</t>
  </si>
  <si>
    <t>Genome-wide association study identifies susceptibility loci for dengue shock syndrome at MICB and PLCE1.</t>
  </si>
  <si>
    <t>Genome-wide association study identifies loci influencing concentrations of liver enzymes in plasma.</t>
  </si>
  <si>
    <t>Invest Ophthalmol Vis Sci</t>
  </si>
  <si>
    <t>Association of polymorphisms in the hepatocyte growth factor gene promoter with keratoconus.</t>
  </si>
  <si>
    <t>Genome-wide significant association between alcohol dependence and a variant in the ADH gene cluster.</t>
  </si>
  <si>
    <t>Genome-wide association study of Alzheimer's disease with psychotic symptoms.</t>
  </si>
  <si>
    <t>Genome-wide association analysis of age-at-onset in Alzheimer's disease.</t>
  </si>
  <si>
    <t>Large-scale genome-wide association study of Asian population reveals genetic factors in FRMD4A and other loci influencing smoking initiation and nicotine dependence.</t>
  </si>
  <si>
    <t>A genome-wide association study identifies a novel susceptibility locus for renal cell carcinoma on 12p11.23.</t>
  </si>
  <si>
    <t>Loci affecting gamma-glutamyl transferase in adults and adolescents show age ╫ SNP interaction and cardiometabolic disease associations.</t>
  </si>
  <si>
    <t>Genome-wide association study in German patients with attention deficit/hyperactivity disorder.</t>
  </si>
  <si>
    <t>Genome-wide scan for loci of adolescent obesity and their relationship with blood pressure.</t>
  </si>
  <si>
    <t>Identification of two new loci at IL23R and RAB32 that influence susceptibility to leprosy.</t>
  </si>
  <si>
    <t>A genome-wide association study identifies common variants near LBX1 associated with adolescent idiopathic scoliosis.</t>
  </si>
  <si>
    <t>Cancer</t>
  </si>
  <si>
    <t>Polymorphic markers associated with severe oxaliplatin-induced, chronic peripheral neuropathy in colon cancer patients.</t>
  </si>
  <si>
    <t>Genome-wide association study of body height in African Americans: the Women's Health Initiative SNP Health Association Resource (SHARe).</t>
  </si>
  <si>
    <t>Genome-wide pooling approach identifies SPATA5 as a new susceptibility locus for alopecia areata.</t>
  </si>
  <si>
    <t>Recent methods for polygenic analysis of genome-wide data implicate an important effect of common variants on cardiovascular disease risk.</t>
  </si>
  <si>
    <t>Genome-wide association study of antidepressant treatment-emergent suicidal ideation.</t>
  </si>
  <si>
    <t>Br J Dermatol</t>
  </si>
  <si>
    <t>Susceptibility variants on chromosome 7p21.1 suggest HDAC9 as a new candidate gene for male-pattern baldness.</t>
  </si>
  <si>
    <t>A genome-wide meta-analysis of genetic variants associated with allergic rhinitis and grass sensitization and their interaction with birth order.</t>
  </si>
  <si>
    <t>A genome-wide association study identifies new susceptibility loci for non-cardia gastric cancer at 3q13.31 and 5p13.1.</t>
  </si>
  <si>
    <t>Genome-wide association study identifies a susceptibility locus for schizophrenia in Han Chinese at 11p11.2.</t>
  </si>
  <si>
    <t>A common variant at the TERT-CLPTM1L locus is associated with estrogen receptor-negative breast cancer.</t>
  </si>
  <si>
    <t>Common variants on 8p12 and 1q24.2 confer risk of schizophrenia.</t>
  </si>
  <si>
    <t>Genetic variants associated with the white blood cell count in 13,923 subjects in the eMERGE Network.</t>
  </si>
  <si>
    <t>Psychol Med</t>
  </si>
  <si>
    <t>Pharmacogenomic study of side-effects for antidepressant treatment options in STAR*D.</t>
  </si>
  <si>
    <t>Heritability and genome-wide association analysis of renal sinus fat accumulation in the Framingham Heart Study.</t>
  </si>
  <si>
    <t>A genome-wide scan for common variants affecting the rate of age-related cognitive decline.</t>
  </si>
  <si>
    <t>Abdominal aortic aneurysm is associated with a variant in low-density lipoprotein receptor-related protein 1.</t>
  </si>
  <si>
    <t>Genome-wide association study of comorbid depressive syndrome and alcohol dependence.</t>
  </si>
  <si>
    <t>Hum Mutat</t>
  </si>
  <si>
    <t>CDH13 gene coding t-cadherin influences variations in plasma adiponectin levels in the Japanese population.</t>
  </si>
  <si>
    <t>Common Genetic Variation in the 3-BCL11B Gene Desert Is Associated with Carotid-Femoral Pulse Wave Velocity and Excess Cardiovascular Disease Risk: The AortaGen Consortium.</t>
  </si>
  <si>
    <t>Genome-wide association study identifies 5q21 and 9p24.1 (KDM4C) loci associated with alcohol withdrawal symptoms.</t>
  </si>
  <si>
    <t>A genome-wide association study of plasma total IgE concentrations in the Framingham Heart Study.</t>
  </si>
  <si>
    <t>Identification of germline susceptibility loci in ETV6-RUNX1-rearranged childhood acute lymphoblastic leukemia.</t>
  </si>
  <si>
    <t>A genome-wide association study of COPD identifies a susceptibility locus on chromosome 19q13.</t>
  </si>
  <si>
    <t>Genome-wide association study identifies FCGR2A as a susceptibility locus for Kawasaki disease.</t>
  </si>
  <si>
    <t>619 African American individuals</t>
  </si>
  <si>
    <t>UGT1A1 is a major locus influencing bilirubin levels in African Americans.</t>
  </si>
  <si>
    <t>A genome-wide meta-analysis of nodular sclerosing Hodgkin lymphoma identifies risk loci at 6p21.32.</t>
  </si>
  <si>
    <t>Bivariate genome-wide association analyses of femoral neck bone geometry and appendicular lean mass.</t>
  </si>
  <si>
    <t>Serum ferritin levels are associated with a distinct phenotype of chronic hepatitis C poorly responding to pegylated interferon-alpha and ribavirin therapy.</t>
  </si>
  <si>
    <t>Obstet Gynecol</t>
  </si>
  <si>
    <t>Identification of six loci associated with pelvic organ prolapse using genome-wide association analysis.</t>
  </si>
  <si>
    <t>Genome-wide association study of vascular dementia.</t>
  </si>
  <si>
    <t>583 Han Chinese cases, 497 Han Chinese controls</t>
  </si>
  <si>
    <t>Two-stage genome-wide association study identifies variants in CAMSAP1L1 as susceptibility loci for epilepsy in Chinese.</t>
  </si>
  <si>
    <t>182 South Asian individuals</t>
  </si>
  <si>
    <t>A genome-wide search for non-UGT1A1 markers associated with unconjugated bilirubin level reveals significant association with a polymorphic marker near a gene of the nucleoporin family.</t>
  </si>
  <si>
    <t>Common variation at 3p22.1 and 7p15.3 influences multiple myeloma risk.</t>
  </si>
  <si>
    <t>Genome-wide study identifies PTPRO and WDR72 and FOXQ1-SUMO1P1 interaction associated with neurocognitive function.</t>
  </si>
  <si>
    <t>Cancer Biol Ther</t>
  </si>
  <si>
    <t>New variants at 10q26 and 15q21 are associated with aggressive prostate cancer in a genome-wide association study from a prostate biopsy screening cohort.</t>
  </si>
  <si>
    <t>Genome-wide study links MTMR7 gene to variant Creutzfeldt-Jakob risk.</t>
  </si>
  <si>
    <t>A genome-wide association study in Han Chinese identifies new susceptibility loci for ankylosing spondylitis.</t>
  </si>
  <si>
    <t>New gene functions in megakaryopoiesis and platelet formation.</t>
  </si>
  <si>
    <t>A genome-wide association study of men with symptoms of testicular dysgenesis syndrome and its network biology interpretation.</t>
  </si>
  <si>
    <t>A Genome-Wide Association Study of Overall Survival in Pancreatic Cancer Patients Treated with Gemcitabine in CALGB 80303.</t>
  </si>
  <si>
    <t>Genome-wide association study for coronary artery calcification with follow-up in myocardial infarction.</t>
  </si>
  <si>
    <t>Genome-wide meta-analysis of five Asian cohorts identifies PDGFRA as a susceptibility locus for corneal astigmatism.</t>
  </si>
  <si>
    <t>Cereb Cortex</t>
  </si>
  <si>
    <t>KCTD8 Gene and Brain Growth in Adverse Intrauterine Environment: A Genome-wide Association Study.</t>
  </si>
  <si>
    <t>Meta-analysis of genome-wide association studies identifies eight new loci for type 2 diabetes in east Asians.</t>
  </si>
  <si>
    <t>Genome-wide association study identifies five loci associated with susceptibility to pancreatic cancer in Chinese populations.</t>
  </si>
  <si>
    <t>513 African American ancestry cases, 496 African American ancestry controls</t>
  </si>
  <si>
    <t>A comprehensive genetic association study of Alzheimer disease in African Americans.</t>
  </si>
  <si>
    <t>Genome-Wide Meta-Analysis of Psoriatic Arthritis Identifies Susceptibility Locus at REL.</t>
  </si>
  <si>
    <t>A genome-wide association and gene-environment interaction study for serum triglycerides levels in a healthy Chinese male population.</t>
  </si>
  <si>
    <t>J Appl Physiol</t>
  </si>
  <si>
    <t>The heritability of submaximal exercise heart rate response to exercise training is accounted for by nine SNPs.</t>
  </si>
  <si>
    <t>Genomewide association study for determinants of HIV-1 acquisition and viral set point in HIV-1 serodiscordant couples with quantified virus exposure.</t>
  </si>
  <si>
    <t>95 Chinese cases, 97 Chinese controls</t>
  </si>
  <si>
    <t>500 Chinese cases, 728 Chinese controls</t>
  </si>
  <si>
    <t>Genome-wide association study of hepatocellular carcinoma in Southern Chinese patients with chronic hepatitis B virus infection.</t>
  </si>
  <si>
    <t>240 Japanese cases</t>
  </si>
  <si>
    <t>222 Japanese cases</t>
  </si>
  <si>
    <t>A genome-wide association study identifies locus at 10q22 associated with clinical outcomes of adjuvant tamoxifen therapy for breast cancer patients in Japanese.</t>
  </si>
  <si>
    <t>Genome-wide association study meta-analysis of European and Asian-ancestry samples identifies three novel loci associated with bipolar disorder.</t>
  </si>
  <si>
    <t>490 cases of Chinese ancestry, 490 controls of Chinese ancestry</t>
  </si>
  <si>
    <t>521 cases of Chinese ancestry, 524 controls of Chinese ancestry</t>
  </si>
  <si>
    <t>Genome-wide association study identifies PERLD1 as asthma candidate gene.</t>
  </si>
  <si>
    <t>Genome-wide meta-analysis identifies novel multiple sclerosis susceptibility loci.</t>
  </si>
  <si>
    <t>A genome-wide association study in Han Chinese identifies multiple susceptibility loci for IgA nephropathy.</t>
  </si>
  <si>
    <t>Meta-analysis of genome-wide association studies identifies three new risk loci for atopic dermatitis.</t>
  </si>
  <si>
    <t>A genome-wide association study in Chinese men identifies three risk loci for non-obstructive azoospermia.</t>
  </si>
  <si>
    <t>Association Between Chromosome 9p21 Variants and the Ankle-Brachial Index Identified by a Meta-Analysis of 21 Genome-Wide Association Studies.</t>
  </si>
  <si>
    <t>Genome-wide association study in bipolar patients stratified by co-morbidity.</t>
  </si>
  <si>
    <t>Genome-wide association study in multiple human prion diseases suggests genetic risk factors additional to PRNP.</t>
  </si>
  <si>
    <t>A genome-wide association study of the Protein C anticoagulant pathway.</t>
  </si>
  <si>
    <t>2054 Italian subjects</t>
  </si>
  <si>
    <t>681 AA cases, 508 AA controls</t>
  </si>
  <si>
    <t>8031 Korean subjects</t>
  </si>
  <si>
    <t>194 African whole blood samples (4 populations in Morocco)</t>
  </si>
  <si>
    <t>85 Western European cord blood (GenCord bank) derived PHA-stimulated T cell preparations, 85 cord blood (GenCord bank) derived cultured fibroblasts, 85 cord blood (GenCord bank) derived EBV-transformed LCLs</t>
  </si>
  <si>
    <t>518 Northern European fasting whole blood samples</t>
  </si>
  <si>
    <t>613 Italian (Tuscany) whole blood samples</t>
  </si>
  <si>
    <t>Specific place(s) mentioned for samples</t>
  </si>
  <si>
    <t>1469 unrelated European whole blood samples (473 healthy controls, 453 COPD patients, 383 ALS patients, 111 celiac patients, 49 ulcerative colitis patients)</t>
  </si>
  <si>
    <t>143 European frontal cortex samples, 143 European cerebellum samples, 144 European temporal cortex samples, 142 European caudal pons samples</t>
  </si>
  <si>
    <t>52 Northern European endometrial tumor samples</t>
  </si>
  <si>
    <t>180 Western European cord blood (GenCord bank) derived cultured fibroblasts</t>
  </si>
  <si>
    <t>134 additional samples and HapMap eQTL samples (60 CEU, 60 YRI)</t>
  </si>
  <si>
    <t>90 HapMap CEU samples</t>
  </si>
  <si>
    <t>[HapMap] ~2200000</t>
  </si>
  <si>
    <t>270 Epstein-Barr transformed B cell lines: 90 CEU cell individuals, 90 YRI, 45 JPT, 45 CHB</t>
  </si>
  <si>
    <t>[HapMap] ~4000000</t>
  </si>
  <si>
    <t>400 LCL samples, 472 liver samples and HapMap samples from previous studies</t>
  </si>
  <si>
    <t>149 Pima Indian skeletal muscle samples</t>
  </si>
  <si>
    <t>95 Northern European osteoblasts</t>
  </si>
  <si>
    <t>5104 European samples (for BMD)</t>
  </si>
  <si>
    <t>58 Northern European osteoblasts</t>
  </si>
  <si>
    <t>57 Northern European LCL samples</t>
  </si>
  <si>
    <t>340 LCL samples previously published</t>
  </si>
  <si>
    <t>131 mixed ancestry sputum samples</t>
  </si>
  <si>
    <t>176 HapMap LCL cell lines (87 CEU, 89 YRI)</t>
  </si>
  <si>
    <t>[HapMap] 1570000</t>
  </si>
  <si>
    <t>10 samples (unspecified ancestry)</t>
  </si>
  <si>
    <t>83 European LCL cell lines (HapMap)</t>
  </si>
  <si>
    <t>58 (unspecified ancestry) leukemia samples</t>
  </si>
  <si>
    <t>[HapMap] 2390203</t>
  </si>
  <si>
    <t>492 Hispanic child cases and 984 parents</t>
  </si>
  <si>
    <t>Tomsk,Irkutsk</t>
  </si>
  <si>
    <t>686 Russian individuals</t>
  </si>
  <si>
    <t>990 (unspecified ancestry) individuals</t>
  </si>
  <si>
    <t>17 LCL cell lines from autistic individuals (unspecified ancestry)</t>
  </si>
  <si>
    <t>1167 individuals (unspecified ancestry)</t>
  </si>
  <si>
    <t>41002 European cases + 43985 controls</t>
  </si>
  <si>
    <t>[HapMap] 3000000</t>
  </si>
  <si>
    <t>[HapMap] 2284964</t>
  </si>
  <si>
    <t>[HapMap] 3035566</t>
  </si>
  <si>
    <t>216 Korean cancer samples + 460 Korean controls</t>
  </si>
  <si>
    <t>521 cases (unspecified ancestry) in Netherlands</t>
  </si>
  <si>
    <t>350 Chinese cases and 350 controls</t>
  </si>
  <si>
    <t>Xi'an</t>
  </si>
  <si>
    <t>622 European cases and 636 controls</t>
  </si>
  <si>
    <t>188 Japanese cases and 752 controls</t>
  </si>
  <si>
    <t>752 Japanese cases and 752 controls</t>
  </si>
  <si>
    <t>441 Australian samples</t>
  </si>
  <si>
    <t>100 (unspecified) samples</t>
  </si>
  <si>
    <t>Dakar, Senegal</t>
  </si>
  <si>
    <t>1218 European samples + 328 European samples</t>
  </si>
  <si>
    <t>107 HapMap LCL cell lines (53 CEU, 54 YRI)</t>
  </si>
  <si>
    <t>116 HapMap LCL cell lines (58 CEU, 58 YRI)</t>
  </si>
  <si>
    <t>95 Japanese LCL cell lines</t>
  </si>
  <si>
    <t>23 HapMap (CEU) cell lines</t>
  </si>
  <si>
    <t>555 Dutch cases + 2768 controls, 611 Dutch cases + 835 controls</t>
  </si>
  <si>
    <t>1898 (unspecified) Australian cases + 488 controls</t>
  </si>
  <si>
    <t>1139 Chinese cases + 1227 controls</t>
  </si>
  <si>
    <t>7173 Chinese cases + 11692 controls, 823 German (unspecified) cases + 1840 controls, 2470 US cases (unspecified) + 2348 controls, 508+ US samples (unspecified)</t>
  </si>
  <si>
    <t>1384 cases (unspecified) + 1414 controls (unspecified)</t>
  </si>
  <si>
    <t>58 NCI cancer cell lines (mixed ancestry)</t>
  </si>
  <si>
    <t>Within sample subanalyses</t>
  </si>
  <si>
    <t>4321 Finnish samples</t>
  </si>
  <si>
    <t>1241 Finns, 1718 Finns, 2129 Finns</t>
  </si>
  <si>
    <t>87 (unspecified) B-lymphoblastoid cell lines</t>
  </si>
  <si>
    <t>57 NCI cancer cell lines (mixed ancestry)</t>
  </si>
  <si>
    <t>1147 Swedish cases and 1079 controls</t>
  </si>
  <si>
    <t>99 Japanese samples</t>
  </si>
  <si>
    <t>46 NCI cancer cell lines (mixed ancestry)</t>
  </si>
  <si>
    <t>209 Japanese cases and 1079 controls</t>
  </si>
  <si>
    <t>479 Japanese cases + 863 controls, 365 Japanese cases + 780 controls</t>
  </si>
  <si>
    <t>94 Japanese cases and 538 controls</t>
  </si>
  <si>
    <t>84 Japanese cases and 365 controls</t>
  </si>
  <si>
    <t>94 Japanese cases and 535 controls</t>
  </si>
  <si>
    <t>84 Japanese cases and 361 controls</t>
  </si>
  <si>
    <t>80 (unspecified) B-lymphoblastoid cell lines</t>
  </si>
  <si>
    <t>656 (unspecified) cases</t>
  </si>
  <si>
    <t>2068 (unspecified) cases + 1484 controls, 1519 (unspecified) cases + 1851 controls, 500 (unspecified) cases + 627 controls, 1152 (unspecified) cases + 1506 controls</t>
  </si>
  <si>
    <t>3145 (unspecified) cases + 3352 controls, 1822 (unspecified) samples</t>
  </si>
  <si>
    <t>Clarke</t>
  </si>
  <si>
    <t>Lipid level measurements, blood pressure, albumin, CRP levels, fibrinogen, uric acid, white cell count, FII, FIII, vWF, glucose, insulin, waist circumference</t>
  </si>
  <si>
    <t>93 Korean cases</t>
  </si>
  <si>
    <t>145 Korean cases</t>
  </si>
  <si>
    <t>496 (unspecified) cases + 373 controls</t>
  </si>
  <si>
    <t>Genomics and Informatics</t>
  </si>
  <si>
    <t>Genome-wide Association Study Identification of a New Genetic Locus with Susceptibility to Osteoporotic Fracture in the Korean Population.</t>
  </si>
  <si>
    <t>288 Korean cases + 1139 controls</t>
  </si>
  <si>
    <t>272 Korean cases + 810 controls</t>
  </si>
  <si>
    <t>6742 Korean samples</t>
  </si>
  <si>
    <t>5102 Korean samples</t>
  </si>
  <si>
    <t>Schuh-Huerta</t>
  </si>
  <si>
    <t>Lai</t>
  </si>
  <si>
    <t>Park</t>
  </si>
  <si>
    <t>Kwon</t>
  </si>
  <si>
    <t>Keam</t>
  </si>
  <si>
    <t>Oh</t>
  </si>
  <si>
    <t>Obesity-related traits, body mass index (BMI), blood pressure</t>
  </si>
  <si>
    <t>Up to 8842 Korean samples</t>
  </si>
  <si>
    <t>476 Korean cases + 3317 controls</t>
  </si>
  <si>
    <t>7751 Korean samples</t>
  </si>
  <si>
    <t>Not indexed (Park et al: Genome Inform 8(3):108-115)</t>
  </si>
  <si>
    <t>Not indexed (Kwon &amp; Kim: Genome Inform 8(3):159-163)</t>
  </si>
  <si>
    <t>Not indexed (Keam et al: Genome Inform 9(3):121-126)</t>
  </si>
  <si>
    <t>Not indexed (Hong et al: Genome Inform 8(3):103-107)</t>
  </si>
  <si>
    <t>Not indexed (Kim et al: Genome Inform 8(3):150-158)</t>
  </si>
  <si>
    <t>Not indexed (Oh et al: Genome Inform 8(3):142-149)</t>
  </si>
  <si>
    <t>Not indexed (Lee et al: Genome Inform 9(2):59-63)</t>
  </si>
  <si>
    <t>Not indexed (Hwang et al: Genome Inform 9(2):52-58)</t>
  </si>
  <si>
    <t>Addiction phenotypes (alcohol, nicotine, marijuana, cocaine, opiates, other drugs)</t>
  </si>
  <si>
    <t>1729 Chinese cases + 628 controls</t>
  </si>
  <si>
    <t>215 Chinese cases + 215 controls</t>
  </si>
  <si>
    <t>612 Chinese cases + 2193 controls</t>
  </si>
  <si>
    <t>3339 Asian ancestry cases + 4737 controls</t>
  </si>
  <si>
    <t>Age at menarche, age at menopause</t>
  </si>
  <si>
    <t>Gout</t>
  </si>
  <si>
    <t>Chronic hepatitis B progression</t>
  </si>
  <si>
    <t>1073 European (unspecified) Swiss samples</t>
  </si>
  <si>
    <t>525 European (unspecified) Serbian samples</t>
  </si>
  <si>
    <t>Up to 3468 Hispanic women</t>
  </si>
  <si>
    <t>20 Chinese male cases + 42 Chinese controls (HapMap CHB)</t>
  </si>
  <si>
    <t>Kho</t>
  </si>
  <si>
    <t>96 (unspecified) cultured aortic endothelial cell samples from anonymous heart transplant donors</t>
  </si>
  <si>
    <t>453 Italian cases, 945 Italian controls</t>
  </si>
  <si>
    <t>5059 European (unspecified) samples</t>
  </si>
  <si>
    <t>282 European, 66 African, and 63 Mexican ancestry children</t>
  </si>
  <si>
    <t>241 European, 439 African, and 360 Hispanic ancestry children, and 1386 European, 1039 African and 1083 Hispanic ancestry adults</t>
  </si>
  <si>
    <t>868 nondiabetic Sorbians</t>
  </si>
  <si>
    <t>7946 (unspecified, mostly European) cases + 19036 controls</t>
  </si>
  <si>
    <t>10260 (unspecified, mostly European) cases + 23500 controls</t>
  </si>
  <si>
    <t>8454 Korean samples</t>
  </si>
  <si>
    <t>1067 EA, 241 AA, 183 Asian</t>
  </si>
  <si>
    <t>up to 5217 EA individuals</t>
  </si>
  <si>
    <t>813 EA, 241 Asian, 7 Hispanic, 25 unspecified</t>
  </si>
  <si>
    <t>997 EA cases, 989 controls</t>
  </si>
  <si>
    <t>994 EA cases,1243 controls</t>
  </si>
  <si>
    <t>3004 Scottish cases, 3094 controls</t>
  </si>
  <si>
    <t>420 EA cases + 320 controls, 560 AA cases + 360 controls</t>
  </si>
  <si>
    <t xml:space="preserve">96 Korean colon cancer cases </t>
  </si>
  <si>
    <t>247 Korean colon cancer cases</t>
  </si>
  <si>
    <t>96 EA cases,50 controls</t>
  </si>
  <si>
    <t>958 EA cases,932 controls</t>
  </si>
  <si>
    <t>309 EA cases,404 controls</t>
  </si>
  <si>
    <t>9538 Australian individuals</t>
  </si>
  <si>
    <t>968 Australian individuals</t>
  </si>
  <si>
    <t>946 (unspecified, presumed EA) cases,977 controls</t>
  </si>
  <si>
    <t>941 EA affected individuals,404 unaffected individuals</t>
  </si>
  <si>
    <t>2631 EA samples, 38 AA samples</t>
  </si>
  <si>
    <t>940 EA cases, 965 controls</t>
  </si>
  <si>
    <t>931 EA cases + 1862 EA parents, 2431 controls</t>
  </si>
  <si>
    <t>931 (unspecified) cases, 1104 controls</t>
  </si>
  <si>
    <t>930 EA cases, 1860 EA parents</t>
  </si>
  <si>
    <t>930 EA cases, 960 controls</t>
  </si>
  <si>
    <t>930 Icelandic cases + 33117 controls</t>
  </si>
  <si>
    <t>9264 EA individuals</t>
  </si>
  <si>
    <t>922 EA cases + 927 controls</t>
  </si>
  <si>
    <t>909 EA cases + 1818 parents</t>
  </si>
  <si>
    <t>909 EA individuals</t>
  </si>
  <si>
    <t>5106 EA individuals</t>
  </si>
  <si>
    <t>898 EA (Croatian) individuals</t>
  </si>
  <si>
    <t>Korcula Island, Croatia</t>
  </si>
  <si>
    <t>32 EA healthy aging, 227 EA Alzheimer's cases</t>
  </si>
  <si>
    <t>89 EA cases</t>
  </si>
  <si>
    <t>889 EA cases + 1823 controls</t>
  </si>
  <si>
    <t>8656 EA individuals</t>
  </si>
  <si>
    <t>864 EA cases + 864 controls</t>
  </si>
  <si>
    <t>860 Japanese cases, 860 controls</t>
  </si>
  <si>
    <t>1915 Japanese cases, 1979 controls</t>
  </si>
  <si>
    <t>857 EA cases,867 controls</t>
  </si>
  <si>
    <t>262 EA cases, 260 controls</t>
  </si>
  <si>
    <t>856 EA cases, 2836 controls</t>
  </si>
  <si>
    <t>1298 EA cases, 6869 controls</t>
  </si>
  <si>
    <t>85 EA cases,90 controls</t>
  </si>
  <si>
    <t>8481 EA individuals</t>
  </si>
  <si>
    <t>Antwerp; Copenhagen; Tubingen; Gent; Padova; Nijmegen; Oulu, Finland; Tampere, Finland</t>
  </si>
  <si>
    <t>846 EA cases, 846 controls</t>
  </si>
  <si>
    <t>63 EA cases, 67 controls</t>
  </si>
  <si>
    <t>844 EA cases, 1255 controls</t>
  </si>
  <si>
    <t>843 (unspecified) family members</t>
  </si>
  <si>
    <t>Bergen, Norway</t>
  </si>
  <si>
    <t>823 EA cases, 810 controls</t>
  </si>
  <si>
    <t>820 EA cases, 885 controls</t>
  </si>
  <si>
    <t>33256 EA samples, 1160 AA samples</t>
  </si>
  <si>
    <t>38201 EA individuals</t>
  </si>
  <si>
    <t>809 EA (Amish) individuals</t>
  </si>
  <si>
    <t>698 EA (Amish) individuals</t>
  </si>
  <si>
    <t>794 EA individuals</t>
  </si>
  <si>
    <t>706 EA individuals</t>
  </si>
  <si>
    <t>791 EA cases, 883 controls</t>
  </si>
  <si>
    <t>778 EA cases,1422 controls</t>
  </si>
  <si>
    <t>7691 EA individuals</t>
  </si>
  <si>
    <t>835 EA individuals</t>
  </si>
  <si>
    <t>767 EA cases +1422 controls</t>
  </si>
  <si>
    <t>755 (unspecified) low and 747 high reading ability</t>
  </si>
  <si>
    <t>3408 (unspecified) plus additional 452 low and 452 high reading ability</t>
  </si>
  <si>
    <t>753 EA cases, 736 controls</t>
  </si>
  <si>
    <t>418 EA cases, 249 controls</t>
  </si>
  <si>
    <t>7514 EA cases, 9045 controls</t>
  </si>
  <si>
    <t>4267 EA cases, 4670 controls, 13026 samples from trios</t>
  </si>
  <si>
    <t>75 EA cases,14474 controls</t>
  </si>
  <si>
    <t>254 EA cases,198 controls</t>
  </si>
  <si>
    <t>7481 EA individuals</t>
  </si>
  <si>
    <t>7500 EA individuals</t>
  </si>
  <si>
    <t>74 (unspecified) cases,130 controls</t>
  </si>
  <si>
    <t>10 (unspecified) cases,16 controls</t>
  </si>
  <si>
    <t>737 EA cases + 721 controls</t>
  </si>
  <si>
    <t>1030 EA cases + 1195 controls</t>
  </si>
  <si>
    <t>1352 EA samples, 118 (unspecified) samples</t>
  </si>
  <si>
    <t>730 EA cases + 1435 controls</t>
  </si>
  <si>
    <t>720 EA female cases + 2337 female controls</t>
  </si>
  <si>
    <t>2019 EA samples, 1035 AA samples</t>
  </si>
  <si>
    <t>70 (unspecified) children</t>
  </si>
  <si>
    <t>286 (unspecified) children</t>
  </si>
  <si>
    <t>1222 EA cases + 1298 controls</t>
  </si>
  <si>
    <t>18185 EA cases + 20068 controls</t>
  </si>
  <si>
    <t>695 EA obese adults, 685 EA obese children, 731 EA lean adults, 685 EA lean children</t>
  </si>
  <si>
    <t>694 EA samples</t>
  </si>
  <si>
    <t>6879 EA individuals</t>
  </si>
  <si>
    <t>1912 EA individuals</t>
  </si>
  <si>
    <t>692 EA high-grade cases + 3992 controls</t>
  </si>
  <si>
    <t>176 EA high-grade cases + 174 controls</t>
  </si>
  <si>
    <t>6865 EA individuals</t>
  </si>
  <si>
    <t>685 EA individuals with type 1 diabetes</t>
  </si>
  <si>
    <t>477 EA nondiabetic siblings</t>
  </si>
  <si>
    <t>68 (unspecified) BAV probands cases, 830 controls</t>
  </si>
  <si>
    <t>6669 EA individuals</t>
  </si>
  <si>
    <t>24606 EA samples, 4195 AA samples</t>
  </si>
  <si>
    <t>664 (unspecified) cases + 422 controls</t>
  </si>
  <si>
    <t>664 EA cases and 1874 controls</t>
  </si>
  <si>
    <t>1246 EA cases and 1756 controls</t>
  </si>
  <si>
    <t>661 French cases + 614 controls</t>
  </si>
  <si>
    <t>415 Chinese cases + 458 controls, 980 EA cases + 582 controls, 475 EA cases + 2938 controls, 400 EA cases + 434 controls</t>
  </si>
  <si>
    <t>28 EA cases + 19 controls, 11 AA cases + 4 controls, 18 Hispanic cases + 14 controls, 14 biracial samples</t>
  </si>
  <si>
    <t>46 EA cases + 386 controls, 12 AA cases + 32 controls, 24 Hispanic cases + 42 controls, 65 biracial samples</t>
  </si>
  <si>
    <t>654 French normoglycemic individuals</t>
  </si>
  <si>
    <t>1715 Chinese cases + 2000 controls</t>
  </si>
  <si>
    <t>49 EA cases + 60 controls, 15 (unspecified) cases + 14 controls</t>
  </si>
  <si>
    <t>6345 EA women</t>
  </si>
  <si>
    <t>632 EA individuals</t>
  </si>
  <si>
    <t>206 EA children</t>
  </si>
  <si>
    <t>628 EA cases + 1644 controls</t>
  </si>
  <si>
    <t>615 EA cases and 1668 controls</t>
  </si>
  <si>
    <t>60 EA females + 52 males</t>
  </si>
  <si>
    <t>60 Japanese cases + 300 controls</t>
  </si>
  <si>
    <t>175 Japanese cases + 608 controls</t>
  </si>
  <si>
    <t>5861 EA individuals</t>
  </si>
  <si>
    <t>58 EA cases + 282 controls</t>
  </si>
  <si>
    <t>574 Bulgarian cases, 605 controls, 1148 parents of cases</t>
  </si>
  <si>
    <t>563 EA cases,1146 controls,1449 samples (trios)</t>
  </si>
  <si>
    <t>553 EA cases + 2338 controls</t>
  </si>
  <si>
    <t>550 EA cases,4476 controls</t>
  </si>
  <si>
    <t>3030 EA cases + 14780 controls, 333 Chinese cases + 2836 controls</t>
  </si>
  <si>
    <t>547 EA cases + 928 controls</t>
  </si>
  <si>
    <t>547 EA cases + 548 controls</t>
  </si>
  <si>
    <t>401 EA cases,433 controls, 1119 affected offspring</t>
  </si>
  <si>
    <t>542 Amish (EA) individuals</t>
  </si>
  <si>
    <t>531 EA individuals with rheumatoid arthritis</t>
  </si>
  <si>
    <t>849 EA individuals with rheumatoid arthritis</t>
  </si>
  <si>
    <t>53 Spanish (unspecified) responders, 53 non-responders</t>
  </si>
  <si>
    <t>49 Spanish (unspecified) responders, 45 non-responders</t>
  </si>
  <si>
    <t>5244 EA subjects</t>
  </si>
  <si>
    <t>52 EA cases</t>
  </si>
  <si>
    <t>152 EA cases</t>
  </si>
  <si>
    <t>5130 EA individuals</t>
  </si>
  <si>
    <t>5117 EA individuals</t>
  </si>
  <si>
    <t>51 EA cases + 54 controls</t>
  </si>
  <si>
    <t>5088 EA nondiabetic individuals</t>
  </si>
  <si>
    <t>506 EA cases, 510 controls</t>
  </si>
  <si>
    <t>505 EA cases + 1507 controls</t>
  </si>
  <si>
    <t>up to 526 EA cases + 1206 controls</t>
  </si>
  <si>
    <t>505 EA cases, 1438 controls</t>
  </si>
  <si>
    <t>501 EA women,499 men</t>
  </si>
  <si>
    <t>500 EA cases + 497 controls</t>
  </si>
  <si>
    <t>499 German (unspecified) cases + 490 controls</t>
  </si>
  <si>
    <t>4921 EA individuals</t>
  </si>
  <si>
    <t>492 EA cases + 496 controls</t>
  </si>
  <si>
    <t>238 EA cases + 220 controls</t>
  </si>
  <si>
    <t>491 EA cases, 479 controls</t>
  </si>
  <si>
    <t>487 German (unspecified) young cases,442 controls</t>
  </si>
  <si>
    <t>140 EA patients</t>
  </si>
  <si>
    <t>486 EA patients</t>
  </si>
  <si>
    <t>482 Italian (unspecified) cases,522 controls</t>
  </si>
  <si>
    <t>479 EA cases,2937 controls</t>
  </si>
  <si>
    <t>13084 EA samples, 748 Japanese + 831 controls, 1034 Chinese cases + 1034 controls</t>
  </si>
  <si>
    <t>477 EA women</t>
  </si>
  <si>
    <t>4763 EA (Finnish) individuals</t>
  </si>
  <si>
    <t>4741 EA individuals</t>
  </si>
  <si>
    <t>1496 EA samples, 839 Hispanic samples, 1101 AA samples</t>
  </si>
  <si>
    <t>4714 EA women</t>
  </si>
  <si>
    <t>469 EA children from low chaos families + 369 children from high chaos families</t>
  </si>
  <si>
    <t>1401 EA samples (from trios), 561 EA cases,1143 controls</t>
  </si>
  <si>
    <t>1170 EA samples (from trios)</t>
  </si>
  <si>
    <t>4611 EA individuals</t>
  </si>
  <si>
    <t>461 EA cases + 563 controls</t>
  </si>
  <si>
    <t>772 German (primarily EA ancestry) cases + 876 controls</t>
  </si>
  <si>
    <t>459 EA twin pairs</t>
  </si>
  <si>
    <t>459 (unspecified) individuals</t>
  </si>
  <si>
    <t>458 EA low g, 402 high g twin children (unrelated)</t>
  </si>
  <si>
    <t>359 EA subjects</t>
  </si>
  <si>
    <t>458 (unspecified, mixed) lithium-treated subjects, 719 non-lithium treated subjects</t>
  </si>
  <si>
    <t>4570 EA women</t>
  </si>
  <si>
    <t>4549 EA cases + 5579 controls</t>
  </si>
  <si>
    <t>452 EA cases, 14378 controls</t>
  </si>
  <si>
    <t>45 EA cases + 195 controls</t>
  </si>
  <si>
    <t>446 (unspecified) cases,290 controls</t>
  </si>
  <si>
    <t>415 (unspecified) cases,260 controls</t>
  </si>
  <si>
    <t>431 EA cases + 2155 controls</t>
  </si>
  <si>
    <t>2220 (unspecified, presumed EA) samples (from trios)</t>
  </si>
  <si>
    <t>4305 EA individuals</t>
  </si>
  <si>
    <t>521 EA individuals</t>
  </si>
  <si>
    <t>4300 EA individuals</t>
  </si>
  <si>
    <t>1860 EA individuals + 832 EA (Amish) samples</t>
  </si>
  <si>
    <t>359 EA cases, 846 controls</t>
  </si>
  <si>
    <t>2981 EA cases + 12358 controls, 2120 EA samples, 2593 Hispanic samples, 2258 AA cases + 3000 controls</t>
  </si>
  <si>
    <t>Tregouet DA</t>
  </si>
  <si>
    <t>419 French EA cases, 1228 controls</t>
  </si>
  <si>
    <t>410 Italian (presumed EA) long-living individuals, 553 young individuals</t>
  </si>
  <si>
    <t>116 Italian (presumed EA) long-living individuals, 160 young individuals</t>
  </si>
  <si>
    <t>404 Dutch (presumed EA) cases</t>
  </si>
  <si>
    <t>403 EA unrelated nonagenarians, 1670 controls</t>
  </si>
  <si>
    <t>4149 EA (specified or presumed) nonagenarian cases, 7582 controls</t>
  </si>
  <si>
    <t>1209 EA samples (from trios)</t>
  </si>
  <si>
    <t>935 EA subjects (pooled)</t>
  </si>
  <si>
    <t>401 EA cases,1644 controls</t>
  </si>
  <si>
    <t>401 Belarus (presumed EA) cases, 620 controls for combined discovery</t>
  </si>
  <si>
    <t>259 Russian (presumed EA) cases, 648 controls</t>
  </si>
  <si>
    <t>378 British EA peripheral blood lymphoblastoid cell lines (asthmatics and unaffected sibs)</t>
  </si>
  <si>
    <t>Julia A</t>
  </si>
  <si>
    <t>400 Spanish EA cases,400 controls</t>
  </si>
  <si>
    <t>410 Spanish EA cases,394 controls</t>
  </si>
  <si>
    <t>398 Korean cases, 8432 controls</t>
  </si>
  <si>
    <t>207 Korean cases, 597 controls</t>
  </si>
  <si>
    <t>3972 EA individuals</t>
  </si>
  <si>
    <t>3903 (unspecified) individuals</t>
  </si>
  <si>
    <t>397 (unspecified) cases,1211 EA individuals</t>
  </si>
  <si>
    <t>397 EA cases, 2043 controls</t>
  </si>
  <si>
    <t>3957 EA cases, 3428 controls</t>
  </si>
  <si>
    <t>391 EA cases + 188 controls</t>
  </si>
  <si>
    <t>439 EA cases + 298 controls</t>
  </si>
  <si>
    <t>3940 (unspecified, presumed EA) AD cases and 13373 controls</t>
  </si>
  <si>
    <t>1012 (unspecified, presumed EA) AD cases, 727 controls</t>
  </si>
  <si>
    <t>393 German cases,399 controls</t>
  </si>
  <si>
    <t>3925 EA individuals</t>
  </si>
  <si>
    <t>25174 EA samples, 2876 EA samples, 1770 EA samples, 3025 EA samples, 1148 AA samples, 1268 EA samples</t>
  </si>
  <si>
    <t>390 EA cases,364 controls</t>
  </si>
  <si>
    <t>386 EA cases,542 controls</t>
  </si>
  <si>
    <t>3851 (mixed) cases, 3934 controls [EA, AA and Asian through PCs though numbers not specified]</t>
  </si>
  <si>
    <t>385 EA cases, 170 controls</t>
  </si>
  <si>
    <t>462 EA cases, 675 controls</t>
  </si>
  <si>
    <t>750 EA cases + 828 controls, 1563 EA samples (from trios)</t>
  </si>
  <si>
    <t>1146 EA samples (from trios)</t>
  </si>
  <si>
    <t>780 German cases + 394 controls</t>
  </si>
  <si>
    <t>364 EA cases, 364 matched controls, 13 unspecified cases and 13 controls</t>
  </si>
  <si>
    <t>420 EA cases + 568 controls, 26 EA cases + 285 controls, 65 unspecified cases + 154 controls</t>
  </si>
  <si>
    <t>372 EA cases</t>
  </si>
  <si>
    <t>3683 EA cases, 14507 controls</t>
  </si>
  <si>
    <t>364 EA cases, 590 controls</t>
  </si>
  <si>
    <t>737 South Asian/Indian samples</t>
  </si>
  <si>
    <t>231 South Asian/Indian samples</t>
  </si>
  <si>
    <t>35812 EA individuals</t>
  </si>
  <si>
    <t>357 EA individuals (Hutterites)</t>
  </si>
  <si>
    <t>357 EA cases + 285 controls</t>
  </si>
  <si>
    <t>3561 EA cases + 4646 controls</t>
  </si>
  <si>
    <t>3497 EA samples</t>
  </si>
  <si>
    <t>6215 EA samples, 1648 EA samples (from twin pairs)</t>
  </si>
  <si>
    <t>3511 EA healthy individuals</t>
  </si>
  <si>
    <t>670 EA healthy individuals</t>
  </si>
  <si>
    <t>349 EA cases, 919 controls</t>
  </si>
  <si>
    <t>439 EA cases + 960 controls</t>
  </si>
  <si>
    <t>34433 EA individuals</t>
  </si>
  <si>
    <t>343 EA cases, 304 controls</t>
  </si>
  <si>
    <t>3426 EA cases, 29624 controls</t>
  </si>
  <si>
    <t>7516 EA cases + 16269 controls</t>
  </si>
  <si>
    <t>3413 EA cases, 37105 referents</t>
  </si>
  <si>
    <t>341 EA young adults</t>
  </si>
  <si>
    <t>472 EA young adults</t>
  </si>
  <si>
    <t>341 EA individuals</t>
  </si>
  <si>
    <t>424 EA samples, 238 EA samples, 9 Hispanic samples, 4 AA samples, 3 Native American samples, 2 Asian samples</t>
  </si>
  <si>
    <t>341 unspecified cases</t>
  </si>
  <si>
    <t>3393 EA cases + 12460 controls</t>
  </si>
  <si>
    <t>331 EA cases + 368 controls</t>
  </si>
  <si>
    <t>324 EA cases, 2999 controls</t>
  </si>
  <si>
    <t>32387 EA individuals</t>
  </si>
  <si>
    <t>3230 EA cases + 4829 controls</t>
  </si>
  <si>
    <t>4017 EA samples (from trios), 2325 EA cases + 1809 controls</t>
  </si>
  <si>
    <t>322 EA cases + 312 controls</t>
  </si>
  <si>
    <t>319 EA hypertensive patients</t>
  </si>
  <si>
    <t>159 EA hypertensive patients</t>
  </si>
  <si>
    <t>318 EA cases + 288 controls</t>
  </si>
  <si>
    <t>519 British cases, 528 controls</t>
  </si>
  <si>
    <t>316 EA cases + 229 controls</t>
  </si>
  <si>
    <t>29820 EA samples, 1148 AA samples</t>
  </si>
  <si>
    <t>10365 EA cases, 16110 controls</t>
  </si>
  <si>
    <t>1038 English cases, 1016 controls</t>
  </si>
  <si>
    <t>831 cases,702 controls Australian, Dutch, and American</t>
  </si>
  <si>
    <t xml:space="preserve">105 Pima (Akimiel O'odham) or Tohono O'odham Indian heritage cases,102 controls </t>
  </si>
  <si>
    <t>1050 US and Australian EA cases, 879 controls</t>
  </si>
  <si>
    <t>1053 Swedish individuals</t>
  </si>
  <si>
    <t>107 Japanese cases, 107 controls</t>
  </si>
  <si>
    <t>1076 Swedish cases and 1426 controls</t>
  </si>
  <si>
    <t>1114 mostly EA cases, 3287 controls</t>
  </si>
  <si>
    <t>1145 EA cases, 1142 controls</t>
  </si>
  <si>
    <t>1145 EA women</t>
  </si>
  <si>
    <t>1154 US EA cases, 1137 controls</t>
  </si>
  <si>
    <t>1161 Finnish cases, 1174 controls</t>
  </si>
  <si>
    <t>1167 European cases, 777 controls</t>
  </si>
  <si>
    <t>11683 Australian individuals</t>
  </si>
  <si>
    <t>1172 EA cases, 1157 controls</t>
  </si>
  <si>
    <t>1173 EA individuals</t>
  </si>
  <si>
    <t>1191 Italian individuals</t>
  </si>
  <si>
    <t>1200 Italian EA individuals</t>
  </si>
  <si>
    <t>12041 celiac disease mostly EA (some Indian) cases, 12228 controls</t>
  </si>
  <si>
    <t>1210 Italian individuals</t>
  </si>
  <si>
    <t>124 Old Order Amish cases,295 controls</t>
  </si>
  <si>
    <t>131 Japanese cases, 135 controls</t>
  </si>
  <si>
    <t>1311 EA cases,3340 controls</t>
  </si>
  <si>
    <t>793 Swedish cases,857 controls</t>
  </si>
  <si>
    <t>134 European American cases,320 controls</t>
  </si>
  <si>
    <t>13664 EA subjects</t>
  </si>
  <si>
    <t>13665 EA individuals from UK and Scandinavia</t>
  </si>
  <si>
    <t>13685 EA individuals</t>
  </si>
  <si>
    <t>1406 EA individuals from the Netherlands</t>
  </si>
  <si>
    <t>1418 children, 135 adults with Western European ancestries from the UK</t>
  </si>
  <si>
    <t>1453 Icelandic cases,3064 controls</t>
  </si>
  <si>
    <t>1486 anti-CMV IgG seropositive and 648 seronegative Finnish individuals</t>
  </si>
  <si>
    <t>1501 Icelandic cases,11290 controls</t>
  </si>
  <si>
    <t>152 Turkish cases, 170 controls</t>
  </si>
  <si>
    <t>1530 German EA individuals</t>
  </si>
  <si>
    <t>1542 VT EA patients, 1110 healthy individuals</t>
  </si>
  <si>
    <t>15821 EA individuals</t>
  </si>
  <si>
    <t>15842 EA individuals</t>
  </si>
  <si>
    <t>1599 Icelandic cases,11546 controls</t>
  </si>
  <si>
    <t>1607 Icelandic cases,6728 controls</t>
  </si>
  <si>
    <t>1625 EA women</t>
  </si>
  <si>
    <t>1644 EA individuals</t>
  </si>
  <si>
    <t>1657 Italian individuals</t>
  </si>
  <si>
    <t>1658 EA women</t>
  </si>
  <si>
    <t>1661 Icelandic cases,10815 controls</t>
  </si>
  <si>
    <t>16876 EA individuals</t>
  </si>
  <si>
    <t>1726 Western EA cases, 1630 controls</t>
  </si>
  <si>
    <t>1738 Western EA cases, 1802 controls</t>
  </si>
  <si>
    <t>17510 EA women</t>
  </si>
  <si>
    <t>179 EA cases, 1306 controls</t>
  </si>
  <si>
    <t>692 EA cases, 3992 controls (meta with previous study)</t>
  </si>
  <si>
    <t>1803 Icelandic and Dutch cases,34336 controls</t>
  </si>
  <si>
    <t>7929 Dutch individuals</t>
  </si>
  <si>
    <t>1854 EA cases,21372 controls</t>
  </si>
  <si>
    <t xml:space="preserve">1868 BP UK EA cases, 2938 controls </t>
  </si>
  <si>
    <t>1878 Western EA cases, 3670 controls</t>
  </si>
  <si>
    <t>1902 EA cases,1929 controls</t>
  </si>
  <si>
    <t>192 Icelandic cases, 37196 controls</t>
  </si>
  <si>
    <t>1924 EA cases, 2938 controls</t>
  </si>
  <si>
    <t>1924 EA cases,2938 controls</t>
  </si>
  <si>
    <t>1952 EA cases,1438 controls</t>
  </si>
  <si>
    <t>1984 EA individuals</t>
  </si>
  <si>
    <t>19840 EA individuals</t>
  </si>
  <si>
    <t>206 multiple sclerosis southern Europeans cases</t>
  </si>
  <si>
    <t>2094 UK EA women</t>
  </si>
  <si>
    <t>2151 French EA individuals</t>
  </si>
  <si>
    <t>218 US EA cases,519 controls</t>
  </si>
  <si>
    <t>220 European American cases, 260 controls</t>
  </si>
  <si>
    <t>221 Irish cases,211 controls</t>
  </si>
  <si>
    <t>737 EA cases,721 controls</t>
  </si>
  <si>
    <t>224 Central EA cases, 383 controls</t>
  </si>
  <si>
    <t>22562 European individuals</t>
  </si>
  <si>
    <t>2287 US EA women</t>
  </si>
  <si>
    <t>870 US EA controls</t>
  </si>
  <si>
    <t>240 Norwegian ancestry cases, 181 controls</t>
  </si>
  <si>
    <t>386 Norwegian ancestry cases, 368 controls</t>
  </si>
  <si>
    <t>240 cases (140 Taiwanese and 100 Japanese), 340 controls</t>
  </si>
  <si>
    <t>241 European American cases,309 controls</t>
  </si>
  <si>
    <t>2418 EA cases, 4504 controls</t>
  </si>
  <si>
    <t>306 EA cases + 15664 controls</t>
  </si>
  <si>
    <t>302 EA cases + 302 controls</t>
  </si>
  <si>
    <t>847 EA cases + 872 controls</t>
  </si>
  <si>
    <t>600 British samples</t>
  </si>
  <si>
    <t>586 British samples</t>
  </si>
  <si>
    <t>300 American Indian cases, 334 controls,121 nondiabetic siblings, 140 diabetic siblings</t>
  </si>
  <si>
    <t>2986 EA individuals</t>
  </si>
  <si>
    <t>2979 EA women</t>
  </si>
  <si>
    <t>2560 EA women</t>
  </si>
  <si>
    <t>2971 EA cases + 3746 controls</t>
  </si>
  <si>
    <t>2967 EA cases + 3075 controls</t>
  </si>
  <si>
    <t>295 EA cases, 571 controls</t>
  </si>
  <si>
    <t>533 EA cases, 3067 controls</t>
  </si>
  <si>
    <t>295 EA cases and 571 controls</t>
  </si>
  <si>
    <t>2290 EA samples, 640 unspecified samples</t>
  </si>
  <si>
    <t>686 EA samples</t>
  </si>
  <si>
    <t>293 EA cases, 585 controls</t>
  </si>
  <si>
    <t>29136 EA individuals</t>
  </si>
  <si>
    <t>199 EA patients + 85 spouses</t>
  </si>
  <si>
    <t>29 EA samples + 60 unrelated controls</t>
  </si>
  <si>
    <t>288 EA cases + 344 controls</t>
  </si>
  <si>
    <t>213 EA cases + 391 controls</t>
  </si>
  <si>
    <t>284 EA males</t>
  </si>
  <si>
    <t>280 EA cases + 360 controls</t>
  </si>
  <si>
    <t>1833 EA cases + 1176 controls, 167 Hispanic cases + 167 controls</t>
  </si>
  <si>
    <t>279 EA cases + 515 controls</t>
  </si>
  <si>
    <t>Up to 1724 (mostly) EA cases + 1616 controls</t>
  </si>
  <si>
    <t>279 EA cases, 184 controls</t>
  </si>
  <si>
    <t>276 EA cases + 276 controls</t>
  </si>
  <si>
    <t>2758 EA individuals</t>
  </si>
  <si>
    <t>275 EA HIV positive patients + 1438 controls</t>
  </si>
  <si>
    <t>626 EA patients</t>
  </si>
  <si>
    <t>267 EA cases + 270 controls</t>
  </si>
  <si>
    <t>263 EA cases, 202 controls</t>
  </si>
  <si>
    <t>2624 (presumed) EA cases + 7220 controls</t>
  </si>
  <si>
    <t>259 EA cases + 269 controls</t>
  </si>
  <si>
    <t>25118 EA individuals</t>
  </si>
  <si>
    <t>105 (presumed) Japanese individuals with non-small cell lung cancer</t>
  </si>
  <si>
    <t>108 British quitters, 216 nonquitters</t>
  </si>
  <si>
    <t>11685 EA individuals</t>
  </si>
  <si>
    <t>1221 British individuals</t>
  </si>
  <si>
    <t>713 EA cases + 603 controls</t>
  </si>
  <si>
    <t>1227 EA individuals</t>
  </si>
  <si>
    <t>123 unspecified cases + 112 controls</t>
  </si>
  <si>
    <t>827 unspecified cases + 594 controls</t>
  </si>
  <si>
    <t>1257 unspecified cases + 1336 controls</t>
  </si>
  <si>
    <t>1343 EA samples</t>
  </si>
  <si>
    <t>1345 EA samples</t>
  </si>
  <si>
    <t>1461 EA cases + 2008 controls</t>
  </si>
  <si>
    <t>1227 EA samples (from trios), 365 EA cases + 351 controls</t>
  </si>
  <si>
    <t>1029 EA cases, 233 AA cases, 177 Hispanic cases [estimated from prior report proportions]</t>
  </si>
  <si>
    <t>3885 unspecified samples (from trios)</t>
  </si>
  <si>
    <t>148 unspecified affected offspring and 292 individuals</t>
  </si>
  <si>
    <t>158 (mixed) subjects who took topiramate, 240 controls</t>
  </si>
  <si>
    <t>78 (mixed) with word difficulty, 212 without from patients with epilepsy who had taken topiramate</t>
  </si>
  <si>
    <t>16 (unspecified) unmedicated bipolar disorder cases, 17 unmedicated major depressive disorder cases, 22 controls</t>
  </si>
  <si>
    <t>241 EA severe cases, 538 EA mild cases</t>
  </si>
  <si>
    <t>1606 EA individuals</t>
  </si>
  <si>
    <t>162 EA cases + 192 controls, 7 AA cases + 14 controls, 1 Asian case + 3 controls, 2 multi-ethnic (unspecified) cases</t>
  </si>
  <si>
    <t>1866 (presumed) EA cases, 5435 controls</t>
  </si>
  <si>
    <t>105 EA samples, 34 Hispanic samples, 26 AA samples</t>
  </si>
  <si>
    <t>192 EA individuals</t>
  </si>
  <si>
    <t>573 EA individuals</t>
  </si>
  <si>
    <t>1926 (presumed) EA cases,2522 controls</t>
  </si>
  <si>
    <t>257 EA samples, 129 AA samples, 11 mixed/unspecified samples</t>
  </si>
  <si>
    <t>1005 EA, 1006 Indian Asians</t>
  </si>
  <si>
    <t>1181 Indian Asian women, 2528 Hispanic samples, 6827 EA samples</t>
  </si>
  <si>
    <t>2073 EA women</t>
  </si>
  <si>
    <t>21 (presumed Spanish) EA cases + 64 controls</t>
  </si>
  <si>
    <t>2124 (presumed) EA cases + 6720 controls</t>
  </si>
  <si>
    <t>223 (unspecified) cases, 248 stroke-affected siblings, 84 stroke-unaffected siblings</t>
  </si>
  <si>
    <t>225 (presumed) Hispanic Brazilian samples</t>
  </si>
  <si>
    <t>938 EA affected individuals</t>
  </si>
  <si>
    <t>1590 samples (unspecified, presumed EA, from trios), 353 cases, 207 controls</t>
  </si>
  <si>
    <t>6219 samples (from trios, multiple races/ethnicities)</t>
  </si>
  <si>
    <t>506 Japanese cases, 506 Japanese controls, 1136 Chinese samples (from quads), 27 Chinese samples (from trios)</t>
  </si>
  <si>
    <t>360 Japanese samples (from trios)</t>
  </si>
  <si>
    <t>1476 Mexican samples (from trios)</t>
  </si>
  <si>
    <t>531 Mexican samples (from trios)</t>
  </si>
  <si>
    <t>2475 EA samples (from trios), 3114 Asian ancestry (from trios)</t>
  </si>
  <si>
    <t>3360 EA samples (from trios)</t>
  </si>
  <si>
    <t>862 EA samples, 153 AA samples, 80 unspecified samples</t>
  </si>
  <si>
    <t>1122 mixed ethnicity individuals (from families)</t>
  </si>
  <si>
    <t>189 Arab-Israeli individuals (from families)</t>
  </si>
  <si>
    <t>387 Spanish individuals (from families)</t>
  </si>
  <si>
    <t>397 Spanish individuals (from families)</t>
  </si>
  <si>
    <t>399 EA Dutch samples (from trios), 266 Swedish cases, 402 Swedish controls</t>
  </si>
  <si>
    <t>518 Korean/Vietnamese individuals (from families)</t>
  </si>
  <si>
    <t>Greater than 262 unspecified samples (from families)</t>
  </si>
  <si>
    <t>1903 (mostly) EA samples (from families)</t>
  </si>
  <si>
    <t>1087 EA samples (from families)</t>
  </si>
  <si>
    <t>229 Hispanic samples (from families)</t>
  </si>
  <si>
    <t>961 Hispanic samples (from families)</t>
  </si>
  <si>
    <t>3101 EA samples (from families), 1204 EA cases + 6491 controls</t>
  </si>
  <si>
    <t>1891 EA samples (from families), 389 EA cases + 472 controls, 949 (unspecified) samples (from families)</t>
  </si>
  <si>
    <t>939 EA cases + 975 controls, 1097 EA samples (from families)</t>
  </si>
  <si>
    <t>1231 EA samples, 846 AA samples: healthy individuals w/ family history of premature CAD</t>
  </si>
  <si>
    <t>814 Hispanic samples (from families)</t>
  </si>
  <si>
    <t>288 Japanese atopic asthmatics + 1032 controls</t>
  </si>
  <si>
    <t>331 Jewish-Israeli samples (from families)</t>
  </si>
  <si>
    <t>206 liver tissue samples (183 European, 23 unspecified), 266 European liver tissues, 60 liver tissue samples (55 European, 5 unspecified)</t>
  </si>
  <si>
    <t>1400 additional controls</t>
  </si>
  <si>
    <t>Illumina [531451]</t>
  </si>
  <si>
    <t>1215 Finnish cases,1258 controls (also includes meta-analysis from DGI+FUSION+WTCCC)</t>
  </si>
  <si>
    <t>Affymetrix [361352]</t>
  </si>
  <si>
    <t>Affymetrix [71937]</t>
  </si>
  <si>
    <t>Illumina [811597]</t>
  </si>
  <si>
    <t>Illumina [491258]</t>
  </si>
  <si>
    <t>1165 EA individuals</t>
  </si>
  <si>
    <t>1059 EA women</t>
  </si>
  <si>
    <t>Illumina [541129]</t>
  </si>
  <si>
    <t>432 EA cases, 1727 controls</t>
  </si>
  <si>
    <t>Perlegen [291998]</t>
  </si>
  <si>
    <t>1531 EA individuals with major depressive disorder</t>
  </si>
  <si>
    <t>1618 EA cases, 1988 controls</t>
  </si>
  <si>
    <t>1153 US and UK EA cases,1217 controls</t>
  </si>
  <si>
    <t>Illumina [521176]</t>
  </si>
  <si>
    <t>Illumina [291119]</t>
  </si>
  <si>
    <t>Up to EA 654 cases, 1847 controls</t>
  </si>
  <si>
    <t>Illumina [551395]</t>
  </si>
  <si>
    <t>Illumina [561346]</t>
  </si>
  <si>
    <t>1207 American Indian cases,1627 controls</t>
  </si>
  <si>
    <t>311 EA cases + 1895 controls</t>
  </si>
  <si>
    <t>1390 EA samples (from families), 108 EA cases + 540 controls</t>
  </si>
  <si>
    <t>1054 EA individuals</t>
  </si>
  <si>
    <t>1043 EA cases, 1769 controls</t>
  </si>
  <si>
    <t>Illumina [331918]</t>
  </si>
  <si>
    <t>660 German CD cases,657 SA cases,1091 controls</t>
  </si>
  <si>
    <t>Illumina [551766]</t>
  </si>
  <si>
    <t>189 EA cases, 1178 controls</t>
  </si>
  <si>
    <t>1158 EA cases,1178 controls</t>
  </si>
  <si>
    <t>1757 EA cases, 1480 controls</t>
  </si>
  <si>
    <t>Illumina [291872]</t>
  </si>
  <si>
    <t>300 EA cases, 1419 controls</t>
  </si>
  <si>
    <t>1160 (unspecified) individuals</t>
  </si>
  <si>
    <t>854 EA siblings, 762 EA women, 1387 Chinese women</t>
  </si>
  <si>
    <t>1649 German (unspecified) cases, 1832 controls</t>
  </si>
  <si>
    <t>1216 EA women</t>
  </si>
  <si>
    <t>1024 EA cases, 1677 controls</t>
  </si>
  <si>
    <t>1266 EA cases, 559 controls, 1284 samples (from trios)</t>
  </si>
  <si>
    <t>Illumina [~841000]</t>
  </si>
  <si>
    <t>1846 EA female cases +1825 EA female controls</t>
  </si>
  <si>
    <t>571 EA cases + 1806 controls</t>
  </si>
  <si>
    <t>Affymetrix &amp; Illumina [841622] (imputed)</t>
  </si>
  <si>
    <t>991 EA cases,1489 controls</t>
  </si>
  <si>
    <t>Affymetrix [381934]</t>
  </si>
  <si>
    <t>1547 EA cases, 1209 controls</t>
  </si>
  <si>
    <t>1230 EA cases + 1251 controls</t>
  </si>
  <si>
    <t>11399 EA individuals</t>
  </si>
  <si>
    <t>1628 unrelated Chinese individuals</t>
  </si>
  <si>
    <t>1000 Han Chinese cases, 1000 Han Chinese controls</t>
  </si>
  <si>
    <t>409 Han Chinese cases, 1000 Han Chinese controls</t>
  </si>
  <si>
    <t>1004 Japanese cases, 1900 Japanese controls</t>
  </si>
  <si>
    <t>Affymetrix [721316]</t>
  </si>
  <si>
    <t>1012 Han Chinese cases, 1362 Han Chinese controls</t>
  </si>
  <si>
    <t>Illumina [491905]</t>
  </si>
  <si>
    <t>1015 Swiss chronic HCV patients, 347 Swiss spontaneously cleared HCV patients</t>
  </si>
  <si>
    <t>1017 African American individuals</t>
  </si>
  <si>
    <t>1019 Chinese female cases, 1710 Chinese female controls</t>
  </si>
  <si>
    <t>1020 European cases, 1636 European controls</t>
  </si>
  <si>
    <t>Affymetrix [671424]</t>
  </si>
  <si>
    <t>1024 Scottish individuals</t>
  </si>
  <si>
    <t>1783 Scottish individuals, 1113 UK individuals</t>
  </si>
  <si>
    <t>1033 adolescent female Japanese cases, 1473 Japanese female controls</t>
  </si>
  <si>
    <t>1039 French cases, 1984 French controls</t>
  </si>
  <si>
    <t>1043 German cases, 1703 German controls</t>
  </si>
  <si>
    <t>1047 Chinese Han cases, 1205 Chinese Han controls</t>
  </si>
  <si>
    <t>1077 Chinese Han descent cases, 1733 Chinese Han descent controls</t>
  </si>
  <si>
    <t>1086 African American samples (from families)</t>
  </si>
  <si>
    <t>1112 Japanese individuals with cerebral infarction, 1112 controls</t>
  </si>
  <si>
    <t>1137 Japanese cases with lacunar infarction, 1875 controls, and 1642 individuals in 14 yr follow up of initial cohort</t>
  </si>
  <si>
    <t>1117 Chinese Han cases, 1429 Chinese Han controls</t>
  </si>
  <si>
    <t>1120 Pima Indians</t>
  </si>
  <si>
    <t>1138 French and German extremely obese children, 1120 French and German normal or underweight children</t>
  </si>
  <si>
    <t>1139 Chinese cases, 1132 Chinese controls</t>
  </si>
  <si>
    <t>1157 European cases, 1748 European controls</t>
  </si>
  <si>
    <t>1162 EA cases with AAO values and 1378 controls</t>
  </si>
  <si>
    <t>1194 Chinese Han cases, 902 Chinese Han controls</t>
  </si>
  <si>
    <t>1215 Turkish cases, 1278 Turkish controls</t>
  </si>
  <si>
    <t>Illumina [311459]</t>
  </si>
  <si>
    <t>1231 Chinese cases, 785 Chinese controls, 1018 Malaysian cases, 1220 Malaysian controls</t>
  </si>
  <si>
    <t>825 Indian cases, 1314 Indian controls, 760 Chinese cases, 169 Chinese controls, 1191 Chinese individuals (from trios)</t>
  </si>
  <si>
    <t>1235 European American cases, 662 African American cases, 1433 European American controls, 499 African American controls</t>
  </si>
  <si>
    <t>612 EA cases + 412 controls, 287 AA cases + 249 controls, 487 German cases, 1358 German controls</t>
  </si>
  <si>
    <t>1247 Japanese cases, 1486 Japanese controls</t>
  </si>
  <si>
    <t>Illumina [241523]</t>
  </si>
  <si>
    <t>1252 Australian twins, 205 Australian siblings</t>
  </si>
  <si>
    <t>1262 Kosraen (Micronesian) individuals</t>
  </si>
  <si>
    <t>1264 African Americans</t>
  </si>
  <si>
    <t>1325 Italian individuals</t>
  </si>
  <si>
    <t>1746 German individuals</t>
  </si>
  <si>
    <t>1354 Mexican-American samples (from families)</t>
  </si>
  <si>
    <t>1368 Australian twins, 848 UK individuals</t>
  </si>
  <si>
    <t>1423 Japanese cases, 1318 Japanese controls</t>
  </si>
  <si>
    <t>1431 Scottish adults</t>
  </si>
  <si>
    <t>1445 European individuals</t>
  </si>
  <si>
    <t>1505 Chinese cases, 1522 Chinese controls</t>
  </si>
  <si>
    <t>1554 Chinese cases, 1576 Chinese controls</t>
  </si>
  <si>
    <t>1524 European twins</t>
  </si>
  <si>
    <t>1583 Japanese cases, 1898 Japanese controls</t>
  </si>
  <si>
    <t>Illumina [391749]</t>
  </si>
  <si>
    <t>1583 Southern Chinese descent cases, 972 Southern Chinese descent controls, 922 Singapore Chinese controls</t>
  </si>
  <si>
    <t>1607 Japanese cases, 1428 Japanese controls</t>
  </si>
  <si>
    <t>1621 Swedish cases, 1699 Swedish controls</t>
  </si>
  <si>
    <t>Illumina [521220]</t>
  </si>
  <si>
    <t>1624 European individuals</t>
  </si>
  <si>
    <t>Illumina [551152]</t>
  </si>
  <si>
    <t>1627 Han Chinese individuals</t>
  </si>
  <si>
    <t>1636 UK cases, 1594 UK controls</t>
  </si>
  <si>
    <t>Illumina [471747]</t>
  </si>
  <si>
    <t>1644 Dutch individuals, 978 European individuals</t>
  </si>
  <si>
    <t>1683 Indonesian individuals</t>
  </si>
  <si>
    <t>1931 Indonesian individuals</t>
  </si>
  <si>
    <t>1709 Filipino women</t>
  </si>
  <si>
    <t>1711 European individuals</t>
  </si>
  <si>
    <t>1714 Australian samples (from twins/families), 1759 UK samples (from twins/families), 249 Australian thin CCT individuals + 251 thick CCT individuals, 102 Australian individuals from extreme CCT quantiles</t>
  </si>
  <si>
    <t>1715 African American individuals</t>
  </si>
  <si>
    <t>1721 Korean male drinkers</t>
  </si>
  <si>
    <t>1113 Korean male drinkers</t>
  </si>
  <si>
    <t>1776 Filipino women</t>
  </si>
  <si>
    <t>1774 independent Filipino offspring</t>
  </si>
  <si>
    <t>1782 non-diabetic Scottish and Croatian individuals</t>
  </si>
  <si>
    <t>1786 unrelated Filipino women</t>
  </si>
  <si>
    <t>1679 Filipino offspring</t>
  </si>
  <si>
    <t>1792 Filipino women</t>
  </si>
  <si>
    <t>1809 European individuals</t>
  </si>
  <si>
    <t>1822 Croatian individuals, 737 Scottish individuals</t>
  </si>
  <si>
    <t>1848 European American case (from families), 1991 European American controls (from families)</t>
  </si>
  <si>
    <t>1952 European cases, 1438 European controls</t>
  </si>
  <si>
    <t>Illumina [511919]</t>
  </si>
  <si>
    <t>Affymetrix [681783]</t>
  </si>
  <si>
    <t>Illumina [311159]</t>
  </si>
  <si>
    <t>1919 Icelandic men, 454 UK men</t>
  </si>
  <si>
    <t>Illumina [491227]</t>
  </si>
  <si>
    <t>Affymetrix [91713]</t>
  </si>
  <si>
    <t>177 African American severe patients, 1088 African American mild patients</t>
  </si>
  <si>
    <t>Illumina [311194]</t>
  </si>
  <si>
    <t>Affymetrix [641760]</t>
  </si>
  <si>
    <t>187 Japanese cases, 1504 Japanese controls</t>
  </si>
  <si>
    <t>699 Japanese cases, 1482 Japanese controls</t>
  </si>
  <si>
    <t>190 Japanese cases, 1557 Japanese controls</t>
  </si>
  <si>
    <t>194 Japanese cases, 1539 Japanese controls</t>
  </si>
  <si>
    <t>194 Japanese cases, 1558 Japanese controls</t>
  </si>
  <si>
    <t>195 Japanese cases, 1358 Japanese controls</t>
  </si>
  <si>
    <t>699 Japanese cases, 1540 Japanese controls</t>
  </si>
  <si>
    <t>195 Japanese cases, 1546 Japanese controls</t>
  </si>
  <si>
    <t>1093 Australian individuals</t>
  </si>
  <si>
    <t>898 British cases, 1518 British controls</t>
  </si>
  <si>
    <t>Illumina [551808]</t>
  </si>
  <si>
    <t>Affymetrix &amp; Illumina [1251157] (imputed)</t>
  </si>
  <si>
    <t>1543 Australian and European individuals</t>
  </si>
  <si>
    <t>Illumina [831534] (imputed)</t>
  </si>
  <si>
    <t>Illumina [571243]</t>
  </si>
  <si>
    <t>1193 cases,1166 controls(Ashkenazi Jewish, non-BRCA1/2 carriers)</t>
  </si>
  <si>
    <t>Illumina [1111203]</t>
  </si>
  <si>
    <t>635 Han Chinese cases, 1640 Han Chinese controls</t>
  </si>
  <si>
    <t>Affymetrix [611254]</t>
  </si>
  <si>
    <t>Affymetrix [&gt;361556] (imputed)</t>
  </si>
  <si>
    <t>Illumina [411777]</t>
  </si>
  <si>
    <t>Affymetrix &amp; Illumina [471504]</t>
  </si>
  <si>
    <t>1275 African American cases, 1695 African American controls, 86 Senegalese cases, 414 Senegalese controls, 271 Ghanaian cases, 968 Ghanaian controls, 246 Barbadian cases, 253 Barbadian controls</t>
  </si>
  <si>
    <t>Illumina [591637]</t>
  </si>
  <si>
    <t>314 Chinese cases, 1500 Chinese controls</t>
  </si>
  <si>
    <t>Illumina [311517]</t>
  </si>
  <si>
    <t>Affymetrix [841663]</t>
  </si>
  <si>
    <t>Illumina [331060]</t>
  </si>
  <si>
    <t>1193 German individuals</t>
  </si>
  <si>
    <t>1962 Chinese ancestry cases, 1430 Chinese ancestry controls, 477 Chinese ancestry samples (from trios)</t>
  </si>
  <si>
    <t>Affymetrix [281533]</t>
  </si>
  <si>
    <t>Illumina [251837]</t>
  </si>
  <si>
    <t>371 German cases, 1263 German controls</t>
  </si>
  <si>
    <t>Illumina [461368]</t>
  </si>
  <si>
    <t>376 Japanese cases, 1097 Japanese controls</t>
  </si>
  <si>
    <t>1238 European individuals</t>
  </si>
  <si>
    <t>Illumina [521288]</t>
  </si>
  <si>
    <t>1828 Sardinian individuals, 813 Old-Order Amish individuals</t>
  </si>
  <si>
    <t>1301 Tuscan individuals</t>
  </si>
  <si>
    <t>Illumina [541327]</t>
  </si>
  <si>
    <t>Affymetrix [331838]</t>
  </si>
  <si>
    <t>430 Icelandic and Swedish cases, 1090 Icelandic and Swedish controls</t>
  </si>
  <si>
    <t>Illumina [951071]</t>
  </si>
  <si>
    <t>Affymetrix [681931]</t>
  </si>
  <si>
    <t>464 African American cases, 471 African American controls, 1028 African Caribbean samples (from families)</t>
  </si>
  <si>
    <t>472 German cases, 1146 German controls</t>
  </si>
  <si>
    <t>476 German cases, 1358 German controls</t>
  </si>
  <si>
    <t>1024 German cases, 996 German controls</t>
  </si>
  <si>
    <t>Illumina [521741]</t>
  </si>
  <si>
    <t>1894 Japanese individuals</t>
  </si>
  <si>
    <t>503 European pediatric cases, 1438 European pediatric controls</t>
  </si>
  <si>
    <t>Illumina [291473]</t>
  </si>
  <si>
    <t>505 European cases, 1438 European controls</t>
  </si>
  <si>
    <t>516 European cases, 1196 European controls, 341 African American cases, 892 African American controls, 117 Hispanic controls, 560 Hispanic controls</t>
  </si>
  <si>
    <t>1759 African American controls, 1531 European-American controls</t>
  </si>
  <si>
    <t>564 French cases, 1776 French controls</t>
  </si>
  <si>
    <t>597 German cases, 1295 controls</t>
  </si>
  <si>
    <t>Illumina [491238]</t>
  </si>
  <si>
    <t>1231 Italian participants</t>
  </si>
  <si>
    <t>771 English cases, 574 English controls, 515 Italian cases, 584 English controls, 201 Belgian cases, 385 Belgian controls, 214 Eastern European cases, 533 Eastern European controls, 352 Swedish cases, 1350 Swedish controls, 246 Spanish cases, 890 Spanish controls, 217 German cases, 202 German controls, 334 Dutch cases, 1721 Dutch controls</t>
  </si>
  <si>
    <t>612 Chinese cases, 1160 Chinese controls</t>
  </si>
  <si>
    <t>621 Korean cases, 1541 Korean controls</t>
  </si>
  <si>
    <t>804 Korean cases, 1470 Korean controls</t>
  </si>
  <si>
    <t>Illumina [~311388]</t>
  </si>
  <si>
    <t>682 German cases, 1300 German controls</t>
  </si>
  <si>
    <t>Illumina [511978]</t>
  </si>
  <si>
    <t>11882 African American individuals</t>
  </si>
  <si>
    <t>706 Han Chinese cases, 1225 Han Chinese controls</t>
  </si>
  <si>
    <t>Illumina [491883]</t>
  </si>
  <si>
    <t>Affymetrix [621220]</t>
  </si>
  <si>
    <t>743 African Americans, 1188 Nigerians</t>
  </si>
  <si>
    <t>Affymetrix [611633]</t>
  </si>
  <si>
    <t>746 Han Chinese cases, 1599 Han Chinese controls</t>
  </si>
  <si>
    <t>763 long-living German individuals, 1058 young German individuals</t>
  </si>
  <si>
    <t>469 Icelandic cases, 1185 Icelandic controls</t>
  </si>
  <si>
    <t>1996 African American individuals</t>
  </si>
  <si>
    <t>Illumina [441398]</t>
  </si>
  <si>
    <t>Illumina [421318] (imputed)</t>
  </si>
  <si>
    <t>Illumina [531689]</t>
  </si>
  <si>
    <t>Illumina [up to 941298]</t>
  </si>
  <si>
    <t>Affymetrix [361034]</t>
  </si>
  <si>
    <t>Illumina and Perlegen [1861750] (imputed)</t>
  </si>
  <si>
    <t>1810 Japanese individuals</t>
  </si>
  <si>
    <t>921 Ghanaian cases 1740 Ghanaian controls, 1316 Gambian cases, 1382 Gambian controls</t>
  </si>
  <si>
    <t>Affymetrix [301406]</t>
  </si>
  <si>
    <t>818 Japanese pediatric cases, 1032 Japanese pediatric controls, 835 Korean pediatric cases, 421 Korean pediatric controls</t>
  </si>
  <si>
    <t>1133 Japanese MI cases, 1006 Japanese controls</t>
  </si>
  <si>
    <t>958 Gambian cases, 1382 Gambian controls, all children</t>
  </si>
  <si>
    <t>965 African American cases, 1029 African American controls</t>
  </si>
  <si>
    <t>981 cases of Chinese ancestry, 1991 controls of Chinese ancestry</t>
  </si>
  <si>
    <t>981 cases of Han Chinese ancestry, 1657 controls of Han Chinese ancestry</t>
  </si>
  <si>
    <t>1803 Han Chinese cases, 1473 Han Chinese controls</t>
  </si>
  <si>
    <t>Illumina [582892]</t>
  </si>
  <si>
    <t>2751 American and Finnish EA individuals</t>
  </si>
  <si>
    <t>Illumina [842348]</t>
  </si>
  <si>
    <t>1210 EA cases, 2445 EA controls; 373 AA cases, 372 AA controls</t>
  </si>
  <si>
    <t>1961 VT EA cases and 2238 controls</t>
  </si>
  <si>
    <t>2545 EA cases, 2953 controls</t>
  </si>
  <si>
    <t>Illumina [512349]</t>
  </si>
  <si>
    <t>Illumina [532774]</t>
  </si>
  <si>
    <t>2604 EA cases, 2882 controls</t>
  </si>
  <si>
    <t>2215 EA cases, 2116 controls</t>
  </si>
  <si>
    <t>Affymetrix [642432]</t>
  </si>
  <si>
    <t>2361 EA cases + 1927 controls</t>
  </si>
  <si>
    <t>Affymetrix [62775]</t>
  </si>
  <si>
    <t>Illumina [522782]</t>
  </si>
  <si>
    <t>1177 EA cases + 2372 controls</t>
  </si>
  <si>
    <t>Perlegen [1502205] (pooled)</t>
  </si>
  <si>
    <t>3744 (presumed) EA samples (from trios), 2920 cases, 1961 controls</t>
  </si>
  <si>
    <t>Illumina [462866]</t>
  </si>
  <si>
    <t>Affymetrix [682386]</t>
  </si>
  <si>
    <t>Affymetrix [362129]</t>
  </si>
  <si>
    <t>2634 (unspecified, presumed EA) cases,2930 controls</t>
  </si>
  <si>
    <t>2008 EA women</t>
  </si>
  <si>
    <t>Illumina [312531]</t>
  </si>
  <si>
    <t>2350 EA individuals, 1170 EA samples (from trios)</t>
  </si>
  <si>
    <t>2269 German (unspecified)  individuals</t>
  </si>
  <si>
    <t>2573 French cases + 2776 controls</t>
  </si>
  <si>
    <t>Affymetrix &amp; Illumina [1252387] (imputed)</t>
  </si>
  <si>
    <t>Illumina [302783]</t>
  </si>
  <si>
    <t>2617 French cases + 2894 controls</t>
  </si>
  <si>
    <t>Illumina [392935]</t>
  </si>
  <si>
    <t>Affymetrix &amp; Perlegen [492900]</t>
  </si>
  <si>
    <t>Affymetrix [492000]</t>
  </si>
  <si>
    <t>Affymetrix [492900]</t>
  </si>
  <si>
    <t>1216 EA cases + 2844 controls</t>
  </si>
  <si>
    <t>1338 (unspecified) cases, 2003 controls</t>
  </si>
  <si>
    <t>1827 EA samples (from 609 trios), 2322 EA cases + 2987 controls</t>
  </si>
  <si>
    <t>Affymetrix [342303]</t>
  </si>
  <si>
    <t>Affymetrix [702044]</t>
  </si>
  <si>
    <t>Illumina [432024]</t>
  </si>
  <si>
    <t>1006 Han Chinese cases, 2273 Han Chinese controls</t>
  </si>
  <si>
    <t>Illumina [492929]</t>
  </si>
  <si>
    <t>Affymetrix [872243]</t>
  </si>
  <si>
    <t>1083 UK cases, 2770 UK controls</t>
  </si>
  <si>
    <t>Up to 1058 UK cases, 2254 UK controls</t>
  </si>
  <si>
    <t>2133 Pima Indians</t>
  </si>
  <si>
    <t>Affymetrix [722112]</t>
  </si>
  <si>
    <t>Affymetrix [872242]</t>
  </si>
  <si>
    <t>Illumina [542944]</t>
  </si>
  <si>
    <t>Illumina [542050]</t>
  </si>
  <si>
    <t>Illumina [302098]</t>
  </si>
  <si>
    <t>Illumina [442728]</t>
  </si>
  <si>
    <t>1625 Chinese gastric cancer cases, 1898 Chinese ESCC cases, 2100 Chinese controls</t>
  </si>
  <si>
    <t>Illumina [532616]</t>
  </si>
  <si>
    <t>2836 European individuals</t>
  </si>
  <si>
    <t>1470 Australian parents of twins, 2247 UK twins</t>
  </si>
  <si>
    <t>2742 Japanese individuals</t>
  </si>
  <si>
    <t>12545 Korean individuals</t>
  </si>
  <si>
    <t>Illumina [522164]</t>
  </si>
  <si>
    <t>621 Japanese cases, 2271 Japanese controls</t>
  </si>
  <si>
    <t>Illumina [452038]</t>
  </si>
  <si>
    <t>1599 Japanese cases, 2821 Japanese controls, 308 Thai cases, 546 Thai controls</t>
  </si>
  <si>
    <t>Illumina [292461]</t>
  </si>
  <si>
    <t>Invader [82343]</t>
  </si>
  <si>
    <t>Perlegen [222285]</t>
  </si>
  <si>
    <t>2142 Asian Indian individuals, 929 Chinese children</t>
  </si>
  <si>
    <t>Illumina [462291]</t>
  </si>
  <si>
    <t>2008 Vietnamese pediatric cases, 2018 Vietnamese controls</t>
  </si>
  <si>
    <t>1737 Vietnamese cases, 2934 Vietnamese controls</t>
  </si>
  <si>
    <t>2014 UK twins</t>
  </si>
  <si>
    <t>2028 Japanese cases, 73 Taiwanese cases, 282 Japanese controls</t>
  </si>
  <si>
    <t>2031 Han Chinese cases, 2044 Han Chinese controls</t>
  </si>
  <si>
    <t>2073 Chinese cases, 2084 Chinese controls</t>
  </si>
  <si>
    <t>2088 European American cases, 1612 African American and African Caribbean cases, 1688 Latino cases</t>
  </si>
  <si>
    <t>2727 European American cases, 2147 African American and African Caribbean cases, 2299 Latino cases</t>
  </si>
  <si>
    <t>2132 Indian ancestry individuals, 2313 Malay ancestry individuals</t>
  </si>
  <si>
    <t>Illumina [292768]</t>
  </si>
  <si>
    <t>2325 European individuals</t>
  </si>
  <si>
    <t>2334 European American individuals</t>
  </si>
  <si>
    <t>2346 Micronesian individuals</t>
  </si>
  <si>
    <t>2357 European American individuals, 812 African American individuals</t>
  </si>
  <si>
    <t>2402 Finnish male cases, 1612 Finnish male controls</t>
  </si>
  <si>
    <t>2538 Australian adolescent twins (from families)</t>
  </si>
  <si>
    <t>2554 Indian Asian men</t>
  </si>
  <si>
    <t>2240 Indian Asian men</t>
  </si>
  <si>
    <t>2430 Icelandic individuals, 1620 Danish individuals</t>
  </si>
  <si>
    <t>2684 Asian Indian men</t>
  </si>
  <si>
    <t>2780 European cases, 12515 European controls</t>
  </si>
  <si>
    <t>2820 individuals from European cohorts</t>
  </si>
  <si>
    <t>2889 European children and adolescents</t>
  </si>
  <si>
    <t>300 Icelandic CKD cases, 2964 Icelandic controls, 2379 Icelandic subjects with serum creatinine, 1819 Dutch subjects with serum creatinine</t>
  </si>
  <si>
    <t>2917 European individuals</t>
  </si>
  <si>
    <t>Affymetrix [572888]</t>
  </si>
  <si>
    <t>Illumina [822927]</t>
  </si>
  <si>
    <t>Affymetrix &amp; Illumina [2522393] (imputed)</t>
  </si>
  <si>
    <t>Affymetrix &amp; Illumina [~2661766] (imputed)</t>
  </si>
  <si>
    <t>Affymetrix [512497]</t>
  </si>
  <si>
    <t>766 European cases, 2935 European controls</t>
  </si>
  <si>
    <t>Illumina [292175]</t>
  </si>
  <si>
    <t>12576 European cases, 12223 European controls</t>
  </si>
  <si>
    <t>Illumina [582886]</t>
  </si>
  <si>
    <t>Affymetrix [782838]</t>
  </si>
  <si>
    <t>Affymetrix &amp; Illumina [up to 512349]</t>
  </si>
  <si>
    <t>2630 Chinese cases, 2155 Chinese controls, 314 Thai cases, 519 Thai controls</t>
  </si>
  <si>
    <t>332 Scandinavian cases, 262 Scandinavian controls, 383 German cases, 2700 German controls</t>
  </si>
  <si>
    <t>Illumina [502722]</t>
  </si>
  <si>
    <t>362 African American cases, 2543 African American controls</t>
  </si>
  <si>
    <t>Illumina [322557]</t>
  </si>
  <si>
    <t>Affymetrix [642069]</t>
  </si>
  <si>
    <t>2304 Korean individuals</t>
  </si>
  <si>
    <t>2035 European individuals</t>
  </si>
  <si>
    <t>Illumina [~322498]</t>
  </si>
  <si>
    <t>Affymetrix [362129] (imputed)</t>
  </si>
  <si>
    <t>Affymetrix &amp; Perlegen [1472580] (imputed)</t>
  </si>
  <si>
    <t>Illumina [472854]</t>
  </si>
  <si>
    <t>Illumina [292387]</t>
  </si>
  <si>
    <t>458 Japanese cases, 2056 Japanese controls</t>
  </si>
  <si>
    <t>2261 UK samples (from twins), 1282 Australian samples (from families)</t>
  </si>
  <si>
    <t>504 Han Chinese cases, 2947 Han Chinese controls</t>
  </si>
  <si>
    <t>Affymetrix [302482]</t>
  </si>
  <si>
    <t>Illumina [1212217]</t>
  </si>
  <si>
    <t>2323 Chinese cases, 511 Chinese controls</t>
  </si>
  <si>
    <t>Illumina [482625]</t>
  </si>
  <si>
    <t>2265 Finnish individuals</t>
  </si>
  <si>
    <t>Illumina [242824]</t>
  </si>
  <si>
    <t>Illumina [up to ~542539]</t>
  </si>
  <si>
    <t>1511 Japanese cases, 2451 Japanese controls, 479 U.K.  cases,2938 U.K. controls</t>
  </si>
  <si>
    <t>Affymetrix [392949]</t>
  </si>
  <si>
    <t>2022 African American individuals</t>
  </si>
  <si>
    <t>1930 European cases, 2747 European controls</t>
  </si>
  <si>
    <t>Illumina [292443]</t>
  </si>
  <si>
    <t>Affymetrix [832357]</t>
  </si>
  <si>
    <t>2090 Chinese cases, 462 Thai cases, 4482 Asian controls</t>
  </si>
  <si>
    <t>2953 Chinese individuals</t>
  </si>
  <si>
    <t>959 Japanese high myopia cases, 2128 Japanese controls</t>
  </si>
  <si>
    <t>651 European American bipolar cases, 1171 European American schizophrenia cases, 2412 European American controls</t>
  </si>
  <si>
    <t>Illumina [392365]</t>
  </si>
  <si>
    <t>Illumina [312768]</t>
  </si>
  <si>
    <t>Affymetrix [282838]</t>
  </si>
  <si>
    <t>Invader [52608]</t>
  </si>
  <si>
    <t>721 Japanese cases, 2890 Japanese controls</t>
  </si>
  <si>
    <t>673 Japanese cases, 2596 Japanese controls</t>
  </si>
  <si>
    <t>Illumina [432703]</t>
  </si>
  <si>
    <t>2794 Japanese drinkers, 1521 Japanese chance drinkers, 1351 Japanese non-drinkers</t>
  </si>
  <si>
    <t>756 African American samples (from families), 982 African Americans, 2437 Jamaicans</t>
  </si>
  <si>
    <t>772 Dutch cases, 2024 Dutch controls</t>
  </si>
  <si>
    <t>Affymetrix [2461269]</t>
  </si>
  <si>
    <t>Affymetrix [312978]</t>
  </si>
  <si>
    <t>85 French cases, 2049 French controls</t>
  </si>
  <si>
    <t>2619 UK children</t>
  </si>
  <si>
    <t>Illumina [312565]</t>
  </si>
  <si>
    <t>1775 Sardinian cases, 2005 Sardinian controls</t>
  </si>
  <si>
    <t>Affymetrix [592163]</t>
  </si>
  <si>
    <t>Illumina [312179]</t>
  </si>
  <si>
    <t>Affymetrix &amp; Illumina [1252901] (imputed)</t>
  </si>
  <si>
    <t>2772 German individuals</t>
  </si>
  <si>
    <t>938 Japanese pediatric cases, 2376 Japanese pediatric controls</t>
  </si>
  <si>
    <t>1087 Gambian cases, 2376 Gambian controls, all children</t>
  </si>
  <si>
    <t>Affymetrix [402814]</t>
  </si>
  <si>
    <t>Affymetrix [632932]</t>
  </si>
  <si>
    <t>2603 cases of Chinese ancestry, 2877 controls of Chinese ancestry</t>
  </si>
  <si>
    <t>Affymetrix [342854]</t>
  </si>
  <si>
    <t>988 Japanese cases, 2521 Japanese controls</t>
  </si>
  <si>
    <t>2138 Japanese cases and 1803 Japanese controls</t>
  </si>
  <si>
    <t>Affymetrix [702866]</t>
  </si>
  <si>
    <t>Up to 12670 Icelandic individuals</t>
  </si>
  <si>
    <t>Up to 2906 Micronesian individuals</t>
  </si>
  <si>
    <t>Affymetrix [223922]</t>
  </si>
  <si>
    <t>2724 UK EA cases,3694 controls</t>
  </si>
  <si>
    <t>1855 European cases,3091 controls</t>
  </si>
  <si>
    <t>3875 children Australian and with Western European ancestries from the UK</t>
  </si>
  <si>
    <t>1992 EA cases,3058 controls, 7580 T2D EA cases + 16271 controls, 1491 Chinese case + 993 controls, 865 AA cases + 1106 controls</t>
  </si>
  <si>
    <t>Illumina [93247]</t>
  </si>
  <si>
    <t>Illumina [343866]</t>
  </si>
  <si>
    <t>Perlegen [433556]</t>
  </si>
  <si>
    <t>2165 EA cases,3800 controls</t>
  </si>
  <si>
    <t>Affymetrix [393453]</t>
  </si>
  <si>
    <t>Affymetrix [433510]</t>
  </si>
  <si>
    <t>3932 EA individuals</t>
  </si>
  <si>
    <t>Illumina [313830]</t>
  </si>
  <si>
    <t>Illumina [293195]</t>
  </si>
  <si>
    <t>Illumina [103895]</t>
  </si>
  <si>
    <t>2283 (unspecified) cases,3258 controls</t>
  </si>
  <si>
    <t>Affymetrix [333651]</t>
  </si>
  <si>
    <t>3195 EA twin children (unrelated)</t>
  </si>
  <si>
    <t>3529 EA children</t>
  </si>
  <si>
    <t>3330 EA individuals</t>
  </si>
  <si>
    <t>3149 EA cases + 3335 controls</t>
  </si>
  <si>
    <t>Affymetrix [313924]</t>
  </si>
  <si>
    <t>1835 EA cases + 3111 controls</t>
  </si>
  <si>
    <t>1643 EA cases +3406 controls</t>
  </si>
  <si>
    <t>Illumina [493609]</t>
  </si>
  <si>
    <t>Illumina [313504]</t>
  </si>
  <si>
    <t>Illumina [483399]</t>
  </si>
  <si>
    <t>2637 EA cases, 3957 controls</t>
  </si>
  <si>
    <t>Illumina [2493946] (imputed)</t>
  </si>
  <si>
    <t>2320 EA cases, 3301 controls</t>
  </si>
  <si>
    <t>Illumina [up to 563855]</t>
  </si>
  <si>
    <t>3288 Han Chinese cases, 3609 Han Chinese controls</t>
  </si>
  <si>
    <t>3624 Han Chinese cases, 12197 Han Chinese controls, 1806 German cases, 3256 German controls</t>
  </si>
  <si>
    <t>Illumina [493955]</t>
  </si>
  <si>
    <t>Illumina [493909]</t>
  </si>
  <si>
    <t>Illumina [303117]</t>
  </si>
  <si>
    <t>3334 Australian individuals (from families)</t>
  </si>
  <si>
    <t>1341 European cases, 3496 European controls</t>
  </si>
  <si>
    <t>484 Japanese cases, 3974 Japanese controls</t>
  </si>
  <si>
    <t>Affymetrix [2543887] (imputed)</t>
  </si>
  <si>
    <t>Illumina [303120]</t>
  </si>
  <si>
    <t>1532 Japanese cases, 3304 Japanese controls</t>
  </si>
  <si>
    <t>1583 Japanese cases, 3386 Japanese controls</t>
  </si>
  <si>
    <t>3507 Southern Chinese descent cases, 3063 Southern Chinese descent controls, 852 Southern Chinese samples (from trios)</t>
  </si>
  <si>
    <t>3439 Japanese cases, 3244 Japanese controls</t>
  </si>
  <si>
    <t>Affymetrix [2073674] (imputed)</t>
  </si>
  <si>
    <t>Illumina [463185]</t>
  </si>
  <si>
    <t>3274 African American individuals</t>
  </si>
  <si>
    <t>2100 Han Chinese cases, 3496 Han Chinese controls</t>
  </si>
  <si>
    <t>Illumina [533048]</t>
  </si>
  <si>
    <t>116 European American ancestry cases, 3351 European American ancestry controls</t>
  </si>
  <si>
    <t>Affymetrix [293836]</t>
  </si>
  <si>
    <t>2089 Japanese cases, 3114 Japanese controls</t>
  </si>
  <si>
    <t>3978 European cases, 3297 European controls</t>
  </si>
  <si>
    <t>Affymetrix [703019]</t>
  </si>
  <si>
    <t>2303 Japanese cases, 3380 Japanese controls</t>
  </si>
  <si>
    <t>Illumina [393217]</t>
  </si>
  <si>
    <t>2331 Chinese cases, 3077 Chinese controls</t>
  </si>
  <si>
    <t>2385 European cases, 33752 European controls</t>
  </si>
  <si>
    <t>up to 2427 European cases, 3379 European controls</t>
  </si>
  <si>
    <t>Illumina [303136]</t>
  </si>
  <si>
    <t>2538 Australian individuals, 3477 Dutch individuals</t>
  </si>
  <si>
    <t>Affymetrix [683509]</t>
  </si>
  <si>
    <t>2663 European cases, 13498 European controls</t>
  </si>
  <si>
    <t>Affymetrix [up to 843798]</t>
  </si>
  <si>
    <t>3111 Japanese cases, 1666 Japanese controls</t>
  </si>
  <si>
    <t>Affymetrix &amp; Illumina [2373895] (imputed)</t>
  </si>
  <si>
    <t>3659 European children</t>
  </si>
  <si>
    <t>Affymetrix [up to 113174] (pooled)</t>
  </si>
  <si>
    <t>Affymetrix [253903]</t>
  </si>
  <si>
    <t>2663 European cases, 13780 European controls</t>
  </si>
  <si>
    <t>Affymetrix [723638]</t>
  </si>
  <si>
    <t>Illumina [2223620] (imputed)</t>
  </si>
  <si>
    <t>3310 Japanese individuals</t>
  </si>
  <si>
    <t>3425 African American cases, 3290 African American controls</t>
  </si>
  <si>
    <t>Affymetrix [83381]</t>
  </si>
  <si>
    <t>Illumina [283437]</t>
  </si>
  <si>
    <t>Illumina [513923]</t>
  </si>
  <si>
    <t>Affymetrix &amp; Illumina [2573738] (imputed)</t>
  </si>
  <si>
    <t>Affymetrix &amp; Illumina [2593456] (imputed)</t>
  </si>
  <si>
    <t>Affymetrix &amp; Illumina [593253] (imputed)</t>
  </si>
  <si>
    <t>3470 Dutch individuals</t>
  </si>
  <si>
    <t>Affymetrix [93508]</t>
  </si>
  <si>
    <t>843 Han Chinese high myopia cases, 2525 Han Chinese controls, 1960 Chinese high myopia cases, 3117 Chinese controls</t>
  </si>
  <si>
    <t>Illumina [493947]</t>
  </si>
  <si>
    <t>Illumina [293677]</t>
  </si>
  <si>
    <t>481 Canadian cases, 3706 Canadian controls</t>
  </si>
  <si>
    <t>Illumina [423627]</t>
  </si>
  <si>
    <t>Illumina [303039]</t>
  </si>
  <si>
    <t>Illumina [1283957] (imputed)</t>
  </si>
  <si>
    <t>Illumina [2543887] (imputed)</t>
  </si>
  <si>
    <t>3839 European American individuals, 116 Caribbean Hispanic cases, 70 Caribbean Hispanic controls</t>
  </si>
  <si>
    <t>1682 European cases, 3926 European controls</t>
  </si>
  <si>
    <t>Illumina [583129]</t>
  </si>
  <si>
    <t>Affymetrix &amp; Illumina [953241] (imputed)</t>
  </si>
  <si>
    <t>Illumina [303309]</t>
  </si>
  <si>
    <t>Illumina [513108]</t>
  </si>
  <si>
    <t>Up to 3996 European individuals</t>
  </si>
  <si>
    <t>325 Japanese cases, 3309 Japanese controls</t>
  </si>
  <si>
    <t>3393 Australian individuals</t>
  </si>
  <si>
    <t>827 Japanese cases, 3323 Japanese controls</t>
  </si>
  <si>
    <t>Illumina [313720]</t>
  </si>
  <si>
    <t>Affymetrix [373825]</t>
  </si>
  <si>
    <t>Affymetrix [1033244] (imputed)</t>
  </si>
  <si>
    <t>899 Japanese cases, 3396 Japanese controls</t>
  </si>
  <si>
    <t>Affymetrix &amp; Illumina [2153274] (imputed)</t>
  </si>
  <si>
    <t>1226 Ghanaian cases, 3825 Ghanaian controls, 236 Malawian cases, 779 Malawian controls, UP to 996 Ganaians (from 332 trios and duos)</t>
  </si>
  <si>
    <t>Affymetrix [&gt;333754] (imputed)</t>
  </si>
  <si>
    <t>Affymetrix &amp; Illumina [2543887] (imputed)</t>
  </si>
  <si>
    <t>664 UK cases, 3456 UK controls</t>
  </si>
  <si>
    <t>Illumina [463301]</t>
  </si>
  <si>
    <t>Up to 3925 European individuals</t>
  </si>
  <si>
    <t>3494 European children</t>
  </si>
  <si>
    <t>4335 British women</t>
  </si>
  <si>
    <t>Illumina [~314075]</t>
  </si>
  <si>
    <t>4362 (presumed) EA cases, 43747 controls</t>
  </si>
  <si>
    <t>Illumina [454576]</t>
  </si>
  <si>
    <t>4878 EA cases,4914 controls</t>
  </si>
  <si>
    <t>Illumina [304083]</t>
  </si>
  <si>
    <t>2513 (presumed) EA cases,4752 controls</t>
  </si>
  <si>
    <t>Illumina [314075]</t>
  </si>
  <si>
    <t>Illumina [474019]</t>
  </si>
  <si>
    <t>2145 EA cases, 4073 controls</t>
  </si>
  <si>
    <t>Perlegen [164279]</t>
  </si>
  <si>
    <t>Illumina [104043]</t>
  </si>
  <si>
    <t>Affymetrix [364301]</t>
  </si>
  <si>
    <t>Families (sample numbers unclear), 3303 EA cases + 4673 controls</t>
  </si>
  <si>
    <t>Affymetrix [374975]</t>
  </si>
  <si>
    <t>Affymetrix [454194]</t>
  </si>
  <si>
    <t>Illumina [494902]</t>
  </si>
  <si>
    <t>Affymetrix [254558]</t>
  </si>
  <si>
    <t>1263 Icelandic cases, 34887 Icelandic controls</t>
  </si>
  <si>
    <t>1434 cases of Han Chinese ancestry, 4270 controls of Han Chinese ancestry</t>
  </si>
  <si>
    <t>Affymetrix [374370]</t>
  </si>
  <si>
    <t>1507 Icelandic cases, 34033 Icelandic controls</t>
  </si>
  <si>
    <t>1520 Icelandic cases, 4726 Icelandic controls, 746 Dutch cases, 3751 Dutch controls</t>
  </si>
  <si>
    <t>Affymetrix [704409]</t>
  </si>
  <si>
    <t>4107 European individuals</t>
  </si>
  <si>
    <t>Up to 4584 Japanese cases, 2596 Japanese controls, 225 Korean cases, 377 Korean controls</t>
  </si>
  <si>
    <t>Illumina [464328]</t>
  </si>
  <si>
    <t>1837 Han Chinese cases, 4231 Han Chinese controls</t>
  </si>
  <si>
    <t>Illumina [874956]</t>
  </si>
  <si>
    <t>Affymetrix, Illumina &amp; Perlegen [2834208] (imputed)</t>
  </si>
  <si>
    <t>Illumina [304226]</t>
  </si>
  <si>
    <t>Illumina [304070]</t>
  </si>
  <si>
    <t>160 European cases, 4819 European controls</t>
  </si>
  <si>
    <t>Affymetrix &amp; Illumina [2194468]</t>
  </si>
  <si>
    <t>Perlegen [224507]</t>
  </si>
  <si>
    <t>Illumina [494656]</t>
  </si>
  <si>
    <t>4924 cases, 2618 controls (Japanese), 1433 cases, 1735 controls (Singaporean), 3891 cases, 4888 controls (Danish)</t>
  </si>
  <si>
    <t>662 Japanese cases, 4919 Japanese controls</t>
  </si>
  <si>
    <t>3986 Han Chinese cases, 4157 Han Chinese controls</t>
  </si>
  <si>
    <t>Illumina [294620]</t>
  </si>
  <si>
    <t>Illumina [514999]</t>
  </si>
  <si>
    <t>1106 Dutch cases, 1766 Dutch controls, 1851 Australian cases, 4008 Australian controls</t>
  </si>
  <si>
    <t>Illumina [314868]</t>
  </si>
  <si>
    <t>Illumina [594997]</t>
  </si>
  <si>
    <t>Affymetrix &amp; Illumina [2534500] (imputed)</t>
  </si>
  <si>
    <t>Illumina [334295]</t>
  </si>
  <si>
    <t>3240 Chinese Han cases, 4353 Chinese Han controls</t>
  </si>
  <si>
    <t>Illumina [324623]</t>
  </si>
  <si>
    <t>Illumina [514898]</t>
  </si>
  <si>
    <t>Illumina [504723]</t>
  </si>
  <si>
    <t>3659 UK cases, 4897 UK controls</t>
  </si>
  <si>
    <t>4383 Han Chinese cases, 4539 Han Chinese controls</t>
  </si>
  <si>
    <t>Illumina [514221]</t>
  </si>
  <si>
    <t>Affymetrix [294566]</t>
  </si>
  <si>
    <t>Illumina [34088]</t>
  </si>
  <si>
    <t>4001 Korean individuals</t>
  </si>
  <si>
    <t>Affymetrix [up to 354357]</t>
  </si>
  <si>
    <t>4006 European individuals</t>
  </si>
  <si>
    <t>4026 cases of Chinese ancestry, 1042 cases of Korean ancestry, 794 cases of Malaysian ancestry, 931 cases of Japanese ancestry, 159 cases of Filipino ancestry, 4654 controls of Chinese ancestry, 2943 controls of Korean ancestry, 1240 controls of Malaysian ancestry, 1404 controls of Japanese ancestry and 1624 controls of Filipino ancestry</t>
  </si>
  <si>
    <t>4110 European individuals</t>
  </si>
  <si>
    <t>Illumina [424460]</t>
  </si>
  <si>
    <t>4221 Sardinian individuals</t>
  </si>
  <si>
    <t>4270 UK twins</t>
  </si>
  <si>
    <t>4305 Sardinian individuals</t>
  </si>
  <si>
    <t>4470 Japanese cases, 3071 Japanese controls</t>
  </si>
  <si>
    <t>4627 European individuals</t>
  </si>
  <si>
    <t>4659 European individuals</t>
  </si>
  <si>
    <t>4818 Australian siblings</t>
  </si>
  <si>
    <t>Affymetrix &amp; Perlegen [1574154] (imputed)</t>
  </si>
  <si>
    <t>Affymetrix [574400] (pooled)</t>
  </si>
  <si>
    <t>Affymetrix [474503]</t>
  </si>
  <si>
    <t>2209 Japanese cases, 4440 Japanese controls</t>
  </si>
  <si>
    <t>Illumina [~644503]</t>
  </si>
  <si>
    <t>Illumina [524396]</t>
  </si>
  <si>
    <t>1998 European cases, 4351 European controls</t>
  </si>
  <si>
    <t>Illumina [1384048] (imputed)</t>
  </si>
  <si>
    <t>Illumina [314776]</t>
  </si>
  <si>
    <t>533 EA samples (from families), 244 European cases, 4980 European controls</t>
  </si>
  <si>
    <t>Illumina [444823]</t>
  </si>
  <si>
    <t>Illumina [474050] (pooled)</t>
  </si>
  <si>
    <t>Illumina [504374]</t>
  </si>
  <si>
    <t>Illumina [314518]</t>
  </si>
  <si>
    <t>Illumina [44621]</t>
  </si>
  <si>
    <t>Illumina [304703]</t>
  </si>
  <si>
    <t>617 Swedish and Finnish ER-negative cases, 4583 Swedish and Finnish controls</t>
  </si>
  <si>
    <t>Affymetrix [854893]</t>
  </si>
  <si>
    <t>Illumina [294663]</t>
  </si>
  <si>
    <t>4462 European controls</t>
  </si>
  <si>
    <t>Illumina [up to 544390]</t>
  </si>
  <si>
    <t>Affymetrix [334674]</t>
  </si>
  <si>
    <t>Illumina [444361]</t>
  </si>
  <si>
    <t>Affymetrix [724067]</t>
  </si>
  <si>
    <t>Affymetrix [664472]</t>
  </si>
  <si>
    <t>Illumina [514799]</t>
  </si>
  <si>
    <t>4445 Han Chinese cases, 4458 Han Chinese controls</t>
  </si>
  <si>
    <t>Illumina [474515]</t>
  </si>
  <si>
    <t>Affymetrix &amp; Illumina [2324889] (imputed)</t>
  </si>
  <si>
    <t>Illumina [574919]</t>
  </si>
  <si>
    <t>Affymetrix [334546]</t>
  </si>
  <si>
    <t>4126 Icelandic individuals</t>
  </si>
  <si>
    <t>Perlegen [384401]</t>
  </si>
  <si>
    <t>Illumina [304825]</t>
  </si>
  <si>
    <t>Illumina [454102]</t>
  </si>
  <si>
    <t>979 UK cases, 4947 UK controls</t>
  </si>
  <si>
    <t>Illumina [464301]</t>
  </si>
  <si>
    <t>1946 cases of Han Chinese ancestry, 4077 controls of Han Chinese ancestry</t>
  </si>
  <si>
    <t>Up to ~14700 Japanese individuals</t>
  </si>
  <si>
    <t>Up to 4274 European individuals</t>
  </si>
  <si>
    <t>Illumina [325997]</t>
  </si>
  <si>
    <t>5036 EA individuals</t>
  </si>
  <si>
    <t>Illumina [555616]</t>
  </si>
  <si>
    <t>Illumina [495343]</t>
  </si>
  <si>
    <t>3629 aggressive EA cases, 4255 non-aggressive cases, 5738 controls</t>
  </si>
  <si>
    <t>Illumina [475971]</t>
  </si>
  <si>
    <t>776 Japanese cases, 5205 controls</t>
  </si>
  <si>
    <t>15854 EA individuals</t>
  </si>
  <si>
    <t>Illumina [775311]</t>
  </si>
  <si>
    <t>Illumina [up to 315807]</t>
  </si>
  <si>
    <t>Illumina [555352 ]</t>
  </si>
  <si>
    <t>2934 EA cases,5967 controls</t>
  </si>
  <si>
    <t>Affymetrix [335152]</t>
  </si>
  <si>
    <t>Perlegen [435291]</t>
  </si>
  <si>
    <t>3757 EA cases, 5346 controls</t>
  </si>
  <si>
    <t>3757 EA cases,5346 controls (also includes meta-analysis from DGI+FUSION+WTCCC)</t>
  </si>
  <si>
    <t>Affymetrix &amp; Perlegen [495172]</t>
  </si>
  <si>
    <t>2899 EA cases + 5573 controls</t>
  </si>
  <si>
    <t>Illumina [315418]</t>
  </si>
  <si>
    <t>Illumina [~555000] (pooled)</t>
  </si>
  <si>
    <t>3929 EA cases + 5807 controls</t>
  </si>
  <si>
    <t>Illumina [835136]</t>
  </si>
  <si>
    <t>Affymetrix [395912]</t>
  </si>
  <si>
    <t>Illumina [305624]</t>
  </si>
  <si>
    <t>24194 EA cases + 55598 controls</t>
  </si>
  <si>
    <t>Illumina [315887]</t>
  </si>
  <si>
    <t>Illumina [305724]</t>
  </si>
  <si>
    <t>Affymetrix [645148]</t>
  </si>
  <si>
    <t>Illumina [545066]</t>
  </si>
  <si>
    <t>Illumina [305051]</t>
  </si>
  <si>
    <t>1171 EA obese adults, 896 EA obese children, 1114 EA lean adults, 1297 EA lean children, 4417 EA adults, 5291 EA children</t>
  </si>
  <si>
    <t>Illumina [305846]</t>
  </si>
  <si>
    <t>Affymetrix &amp; Illumina [2555103] (imputed)</t>
  </si>
  <si>
    <t>Affymetrix [705125]</t>
  </si>
  <si>
    <t>Affymetrix [~365000]</t>
  </si>
  <si>
    <t>Illumina [475427]</t>
  </si>
  <si>
    <t>4168 Japanese cases, 5003 Japanese controls</t>
  </si>
  <si>
    <t>1399 EA cases,5275 EA controls</t>
  </si>
  <si>
    <t>5882 European individuals</t>
  </si>
  <si>
    <t>5639 Japanese cases, 24608 Japanese controls</t>
  </si>
  <si>
    <t>Illumina [455508]</t>
  </si>
  <si>
    <t>1705 UK cases, 5175 UK controls</t>
  </si>
  <si>
    <t>Affymetrix [315914]</t>
  </si>
  <si>
    <t>Illumina [495715] (imputed)</t>
  </si>
  <si>
    <t>Illumina [up to 535188]</t>
  </si>
  <si>
    <t>Illumina [565336]</t>
  </si>
  <si>
    <t>Illumina [475322]</t>
  </si>
  <si>
    <t>Illumina [495858]</t>
  </si>
  <si>
    <t>12328 European males, 15813 European females</t>
  </si>
  <si>
    <t>15234 European individuals</t>
  </si>
  <si>
    <t>15297 Icelandic women</t>
  </si>
  <si>
    <t>15757 Icelandic men</t>
  </si>
  <si>
    <t>Perlegen [205203]</t>
  </si>
  <si>
    <t>2032 French cases, 5328 French controls</t>
  </si>
  <si>
    <t>Illumina [535475]</t>
  </si>
  <si>
    <t>Affymetrix [1705237] (imputed)</t>
  </si>
  <si>
    <t>Affymetrix &amp; Illumina [2335627] (imputed)</t>
  </si>
  <si>
    <t>Illumina [545349]</t>
  </si>
  <si>
    <t>Illumina [285984]</t>
  </si>
  <si>
    <t>2903 Icelandic CKD cases, 35818 Icelandic controls, 22256 Icelandic subjects with serum creatinine</t>
  </si>
  <si>
    <t>Affymetrix [405649]</t>
  </si>
  <si>
    <t>Affymetrix [265996]</t>
  </si>
  <si>
    <t>Illumina [525124]</t>
  </si>
  <si>
    <t>Affymetrix [345646]</t>
  </si>
  <si>
    <t>Affymetrix [375487]</t>
  </si>
  <si>
    <t>Affymetrix [595052]</t>
  </si>
  <si>
    <t>Affymetrix [325947]</t>
  </si>
  <si>
    <t>Illumina [745982] (pooled)</t>
  </si>
  <si>
    <t>Illumina [405281]</t>
  </si>
  <si>
    <t>Illumina [365676]</t>
  </si>
  <si>
    <t>Affymetrix [905273]</t>
  </si>
  <si>
    <t>Illumina [555912]</t>
  </si>
  <si>
    <t>5181 Swiss individuals</t>
  </si>
  <si>
    <t>5429 Chinese individuals, 2431 Malay individuals, 2531 Asian Indian individuals</t>
  </si>
  <si>
    <t>Illumina [515922]</t>
  </si>
  <si>
    <t>5771 Japanese individuals</t>
  </si>
  <si>
    <t>5951 Dutch individuals</t>
  </si>
  <si>
    <t>Illumina [545821]</t>
  </si>
  <si>
    <t>Affymetrix [1585307] (imputed)</t>
  </si>
  <si>
    <t>Affymetrix &amp; Illumina [2415422] (imputed)</t>
  </si>
  <si>
    <t>3254 Chinese cases, 5955 Chinese controls</t>
  </si>
  <si>
    <t>706 Han Chinese cases, 5581 Han Chinese controls</t>
  </si>
  <si>
    <t>3301 Han Chinese cases, 5299 Han Chinese controls</t>
  </si>
  <si>
    <t>Illumina [785720]</t>
  </si>
  <si>
    <t>2840 northern Han Chinese cases, 5012 northern Han Chinese controls, 498 southern and central Han Chinese cases, 780 southern and central Han Chinese controls</t>
  </si>
  <si>
    <t>4027 Han Chinese cases, 5603 Han Chinese controls</t>
  </si>
  <si>
    <t>778 Hong Kong Southern Chinese and 5858 Northern Europeans</t>
  </si>
  <si>
    <t>5998 Japanese individuals</t>
  </si>
  <si>
    <t>Illumina [485227]</t>
  </si>
  <si>
    <t>709 Japanese cases, 15571 Japanese controls</t>
  </si>
  <si>
    <t>Affymetrix [645249]</t>
  </si>
  <si>
    <t>Illumina [565759]</t>
  </si>
  <si>
    <t>Perlegen [495172]</t>
  </si>
  <si>
    <t>Illumina [535076]</t>
  </si>
  <si>
    <t>12118 European individuals, 5212 East Asian individuals</t>
  </si>
  <si>
    <t>Affymetrix [315658]</t>
  </si>
  <si>
    <t>933 Japanese cases, 15753 Japanese controls</t>
  </si>
  <si>
    <t>Illumina [435470]</t>
  </si>
  <si>
    <t>991 Japanese cases, 5209 Japanese controls</t>
  </si>
  <si>
    <t>Up to 1968 Icelandic cases, 35382 Icelandic controls</t>
  </si>
  <si>
    <t>Affymetrix, Illumina &amp; Perlegen [2155369] (imputed)</t>
  </si>
  <si>
    <t>Up to 15873 European individuals</t>
  </si>
  <si>
    <t>Affymetrix [up to 435457] (pooled)</t>
  </si>
  <si>
    <t>Affymetrix [66543]</t>
  </si>
  <si>
    <t>Illumina [326498]</t>
  </si>
  <si>
    <t>Affymetrix [306330] (pooled)</t>
  </si>
  <si>
    <t>6223 unspecified cases + 6443 controls</t>
  </si>
  <si>
    <t>Illumina [316015]</t>
  </si>
  <si>
    <t xml:space="preserve">16482 EA individuals </t>
  </si>
  <si>
    <t>2980 Icelandic and US EA cases,6309 controls</t>
  </si>
  <si>
    <t>Illumina [516645]</t>
  </si>
  <si>
    <t>6079 EA cases, 5893 controls</t>
  </si>
  <si>
    <t>6463 EA individuals</t>
  </si>
  <si>
    <t>Illumina [556099]</t>
  </si>
  <si>
    <t>6225 EA cases + 6946 controls, 9192 EA samples (from trios)</t>
  </si>
  <si>
    <t>Illumina [516721]</t>
  </si>
  <si>
    <t>16373 EA women</t>
  </si>
  <si>
    <t>Affymetrix [476796]</t>
  </si>
  <si>
    <t>6583 EA individuals</t>
  </si>
  <si>
    <t>Illumina [866399]</t>
  </si>
  <si>
    <t>Affymetrix [396207]</t>
  </si>
  <si>
    <t>Illumina [326506]</t>
  </si>
  <si>
    <t>Affymetrix [506627] (pooled)</t>
  </si>
  <si>
    <t>Illumina [316730]</t>
  </si>
  <si>
    <t>Affymetrix [386731]</t>
  </si>
  <si>
    <t>Illumina [516919]</t>
  </si>
  <si>
    <t>Affymetrix [2366856] (imputed)</t>
  </si>
  <si>
    <t>Illumina [5156597] (imputed)</t>
  </si>
  <si>
    <t>Illumina [506666]</t>
  </si>
  <si>
    <t>Affymetrix &amp; Illumina [1596878] (imputed)</t>
  </si>
  <si>
    <t>Illumina [486049]</t>
  </si>
  <si>
    <t>1580 European cases,6276 European controls</t>
  </si>
  <si>
    <t>Illumina [~296114]</t>
  </si>
  <si>
    <t>Affymetrix [746626]</t>
  </si>
  <si>
    <t>Illumina [2056878] (imputed)</t>
  </si>
  <si>
    <t>Illumina [256587]</t>
  </si>
  <si>
    <t>5608 European cases, 6767 European controls</t>
  </si>
  <si>
    <t>Illumina [476395]</t>
  </si>
  <si>
    <t>6912 European individuals</t>
  </si>
  <si>
    <t>Illumina [586681]</t>
  </si>
  <si>
    <t>Affymetrix [96258]</t>
  </si>
  <si>
    <t>Illumina [346110]</t>
  </si>
  <si>
    <t>Illumina [336469]</t>
  </si>
  <si>
    <t>Affymetrix [316934]</t>
  </si>
  <si>
    <t>16352 EA and 3948 AA</t>
  </si>
  <si>
    <t>16388 African American individuals</t>
  </si>
  <si>
    <t>Affymetrix [406177]</t>
  </si>
  <si>
    <t>6552 Asian cases, 6621 Asian controls, 2830 cases, 3740 controls (Swedish)</t>
  </si>
  <si>
    <t>5177 Japanese cases, 6220 Japanese controls</t>
  </si>
  <si>
    <t>Affymetrix [666141]</t>
  </si>
  <si>
    <t>6313 Chinese cases, 6409 Chinese controls</t>
  </si>
  <si>
    <t>Affymetrix [906703]</t>
  </si>
  <si>
    <t>Affymetrix [6036699] (imputed)</t>
  </si>
  <si>
    <t>Affymetrix [266047]</t>
  </si>
  <si>
    <t>16436 African Americans</t>
  </si>
  <si>
    <t>Affymetrix [456522]</t>
  </si>
  <si>
    <t>16626 European individuals</t>
  </si>
  <si>
    <t>Invader [76092]</t>
  </si>
  <si>
    <t>3750 Han Chinese cases, 6468 Han Chinese controls</t>
  </si>
  <si>
    <t>Illumina [586069]</t>
  </si>
  <si>
    <t>Affymetrix [2466182] (imputed)</t>
  </si>
  <si>
    <t>Illumina [326385]</t>
  </si>
  <si>
    <t>Illumina [516617]</t>
  </si>
  <si>
    <t>Affymetrix [1966233] (imputed)</t>
  </si>
  <si>
    <t>Illumina [276459]</t>
  </si>
  <si>
    <t>Affymetrix &amp; Illumina [~2716259] (imputed)</t>
  </si>
  <si>
    <t>Illumina [486091]</t>
  </si>
  <si>
    <t>6247 African American individuals</t>
  </si>
  <si>
    <t>5187 Europeans, 6721 Indian Asians</t>
  </si>
  <si>
    <t>6543 Indian Asians</t>
  </si>
  <si>
    <t>6243 Indian Asians, 5370 Europeans</t>
  </si>
  <si>
    <t>Affymetrix &amp; Illumina [496763]</t>
  </si>
  <si>
    <t>6706 Australian individuals (from families)</t>
  </si>
  <si>
    <t>Affymetrix [246758]</t>
  </si>
  <si>
    <t>Illumina [456827]</t>
  </si>
  <si>
    <t>Affymetrix &amp; Illumina [2426886] (imputed)</t>
  </si>
  <si>
    <t>Affymetrix [2156535] (imputed)</t>
  </si>
  <si>
    <t>Illumina [96984]</t>
  </si>
  <si>
    <t>Illumina [486303]</t>
  </si>
  <si>
    <t>6123 Japanese individuals</t>
  </si>
  <si>
    <t>Illumina [556429]</t>
  </si>
  <si>
    <t>Illumina [516737]</t>
  </si>
  <si>
    <t>Illumina [up to 566430]</t>
  </si>
  <si>
    <t>Illumina [306060]</t>
  </si>
  <si>
    <t>7365 British or German individuals</t>
  </si>
  <si>
    <t>Illumina [297086]</t>
  </si>
  <si>
    <t>Affymetrix [377857]</t>
  </si>
  <si>
    <t>Affymetrix [597198]</t>
  </si>
  <si>
    <t>Affymetrix &amp; Illumina [2497993] (imputed)</t>
  </si>
  <si>
    <t>Perlegen [427037]</t>
  </si>
  <si>
    <t>Affymetrix, Illumina and Perlegen [up to 2557249] (imputed)</t>
  </si>
  <si>
    <t>Illumina [547645]</t>
  </si>
  <si>
    <t>Affymetrix [97248]</t>
  </si>
  <si>
    <t>7925 EA individuals</t>
  </si>
  <si>
    <t>Illumina [517401]</t>
  </si>
  <si>
    <t>Affymetrix [567119]</t>
  </si>
  <si>
    <t>Illumina [317501]</t>
  </si>
  <si>
    <t>Illumina [307666]</t>
  </si>
  <si>
    <t>Affymetrix [107116]</t>
  </si>
  <si>
    <t>17872 EA cases + 17526 controls</t>
  </si>
  <si>
    <t>7334 EA cases, 5246 controls</t>
  </si>
  <si>
    <t>7473 EA cases, 5984 controls</t>
  </si>
  <si>
    <t>Illumina [307328]</t>
  </si>
  <si>
    <t>Illumina &amp; Perlegen [up to 7456344] (imputed)</t>
  </si>
  <si>
    <t>525 Japanese cases, 7678 Japanese controls, 569 Korean cases, 1470 Korean controls</t>
  </si>
  <si>
    <t>Affymetrix [1897764] (imputed)</t>
  </si>
  <si>
    <t>3152 Chinese Han cases, 7050 Chinese Han controls</t>
  </si>
  <si>
    <t>7673 Chinese Han descent cases, 11013 Chinese Han descent controls, 303 Chinese Uygur-Kazakh cases, 537 Chinese Uygur-Kazakh controls</t>
  </si>
  <si>
    <t>5721 Chinese cases, 7340 Chinese controls</t>
  </si>
  <si>
    <t>2437 EA cases,7287 EA controls</t>
  </si>
  <si>
    <t>Affymetrix [up to 607728]</t>
  </si>
  <si>
    <t>Illumina [547971]</t>
  </si>
  <si>
    <t>Illumina [297108]</t>
  </si>
  <si>
    <t>Illumina [~317000]</t>
  </si>
  <si>
    <t>Illumina [457044]</t>
  </si>
  <si>
    <t>Illumina [517480]</t>
  </si>
  <si>
    <t>Illumina [507467]</t>
  </si>
  <si>
    <t>Illumina [2417199] (imputed)</t>
  </si>
  <si>
    <t>Illumina [477784]</t>
  </si>
  <si>
    <t>Affymetrix [97963]</t>
  </si>
  <si>
    <t>Illumina [337343]</t>
  </si>
  <si>
    <t>Illumina [317759]</t>
  </si>
  <si>
    <t>Illumina [497732]</t>
  </si>
  <si>
    <t>Illumina [307472]</t>
  </si>
  <si>
    <t>Affymetrix [207097]</t>
  </si>
  <si>
    <t>Illumina [537029]</t>
  </si>
  <si>
    <t>4768 Japanese cases, 17359 Japanese controls</t>
  </si>
  <si>
    <t>27062 Japanese individuals, 3703 Korean individuals</t>
  </si>
  <si>
    <t>Affymetrix [387384]</t>
  </si>
  <si>
    <t>Illumina [467538]</t>
  </si>
  <si>
    <t>Illumina [1517033] (imputed)</t>
  </si>
  <si>
    <t>Illumina [10471986]</t>
  </si>
  <si>
    <t>Affymetrix &amp; Illumina [2217510] (imputed)</t>
  </si>
  <si>
    <t>Affymetrix [307944]</t>
  </si>
  <si>
    <t>Illumina [297342]</t>
  </si>
  <si>
    <t>Illumina [307260]</t>
  </si>
  <si>
    <t>862 African American cases, 7293 African American controls</t>
  </si>
  <si>
    <t>Up to 4121 German cases, 794 Czech cases, 7344 German controls, 815 Czech controls</t>
  </si>
  <si>
    <t>Affymetrix [97088]</t>
  </si>
  <si>
    <t>Illumina &amp; Perlegen [427037]</t>
  </si>
  <si>
    <t>Illumina [227475]</t>
  </si>
  <si>
    <t>Affymetrix [827777]</t>
  </si>
  <si>
    <t>Illumina [2057134] (imputed)</t>
  </si>
  <si>
    <t>452 Icelandic cases, 27712 Icelandic controls, 840 Dutch cases, 2791 Dutch controls</t>
  </si>
  <si>
    <t>5629 Japanese cases, 7370 Japanese controls</t>
  </si>
  <si>
    <t>Illumina [627380]</t>
  </si>
  <si>
    <t>Affymetrix [297645]</t>
  </si>
  <si>
    <t>Illumina [457504]</t>
  </si>
  <si>
    <t>Illumina [257 704]</t>
  </si>
  <si>
    <t>611 Icelandic cases, 37478 Icelandic controls, 1278 Dutch cases, 1832 Dutch controls</t>
  </si>
  <si>
    <t>1001 European ER-negative cases, 7604 European controls</t>
  </si>
  <si>
    <t>5579 European cases, 7096 European controls</t>
  </si>
  <si>
    <t>Illumina [297343]</t>
  </si>
  <si>
    <t>7473 African American individuals</t>
  </si>
  <si>
    <t>7474 Indian Asian individuals</t>
  </si>
  <si>
    <t>Illumina [2487078] (imputed)</t>
  </si>
  <si>
    <t>Illumina [457251]</t>
  </si>
  <si>
    <t>792 Icelandic cases, 37592 Icelandic controls</t>
  </si>
  <si>
    <t>7861 Korean individuals</t>
  </si>
  <si>
    <t>Affymetrix, Illumina and Perlegen [2557252] (imputed)</t>
  </si>
  <si>
    <t>Illumina [457489]</t>
  </si>
  <si>
    <t>Affymetrix [6607266] (imputed)</t>
  </si>
  <si>
    <t>Affymetrix &amp; Illumina [2217889] (imputed)</t>
  </si>
  <si>
    <t>Illumina [277420]</t>
  </si>
  <si>
    <t>Affymetrix  [up to 2557253] (imputed)</t>
  </si>
  <si>
    <t>Illumina [507436]</t>
  </si>
  <si>
    <t>Affymetrix [88500]</t>
  </si>
  <si>
    <t>Affymetrix [88671]</t>
  </si>
  <si>
    <t>Illumina [528173]</t>
  </si>
  <si>
    <t>Illumina [528252]</t>
  </si>
  <si>
    <t>Affymetrix [288908]</t>
  </si>
  <si>
    <t>8273 EA individuals from the Netherlands</t>
  </si>
  <si>
    <t>8617 EA individuals</t>
  </si>
  <si>
    <t>Illumina [308015]</t>
  </si>
  <si>
    <t>Illumina [288357]</t>
  </si>
  <si>
    <t>8239 EA cases,7590 controls</t>
  </si>
  <si>
    <t>7579 EA cases,8236 controls</t>
  </si>
  <si>
    <t>Illumina [308846]</t>
  </si>
  <si>
    <t>Illumina [278502]</t>
  </si>
  <si>
    <t>Illumina [498205]</t>
  </si>
  <si>
    <t>Affymetrix [88862]</t>
  </si>
  <si>
    <t>8541 EA individuals</t>
  </si>
  <si>
    <t>Illumina [298715]</t>
  </si>
  <si>
    <t>Illumina [518230]</t>
  </si>
  <si>
    <t>Perlegen [198345]</t>
  </si>
  <si>
    <t>Illumina [~518000]</t>
  </si>
  <si>
    <t>18436 EA nondiabetic individuals</t>
  </si>
  <si>
    <t>8510 EA individuals</t>
  </si>
  <si>
    <t>Illumina [948142]</t>
  </si>
  <si>
    <t>Illumina [948658]</t>
  </si>
  <si>
    <t>Affymetrix [398625]</t>
  </si>
  <si>
    <t>Illumina [~598000]</t>
  </si>
  <si>
    <t>Invader [48083]</t>
  </si>
  <si>
    <t>7887 European cases, 8244 European controls</t>
  </si>
  <si>
    <t>Illumina [498322]</t>
  </si>
  <si>
    <t>Affymetrix &amp; Illumina [2408051] (imputed)</t>
  </si>
  <si>
    <t>Affymetrix [338049]</t>
  </si>
  <si>
    <t>Illumina [up to 818773]</t>
  </si>
  <si>
    <t>Illumina [458847]</t>
  </si>
  <si>
    <t>7317 British cases, 8124 British controls</t>
  </si>
  <si>
    <t>Illumina [558542]</t>
  </si>
  <si>
    <t>Illumina [818977]</t>
  </si>
  <si>
    <t>Affymetrix, Illumina &amp; Perlegen [2228850] (imputed)</t>
  </si>
  <si>
    <t>Affymetrix [98921] (pooled)</t>
  </si>
  <si>
    <t>2074 Japanese cases, 4508 Japanese controls, 1880 Korean cases, 8714 Korean controls</t>
  </si>
  <si>
    <t>Affymetrix &amp; Illumina [up to 2548976] (imputed)</t>
  </si>
  <si>
    <t>Illumina [~318237]</t>
  </si>
  <si>
    <t>Affymetrix [658897]</t>
  </si>
  <si>
    <t>Affymetrix &amp; Illumina [2318094] (imputed)</t>
  </si>
  <si>
    <t>Illumina [288662]</t>
  </si>
  <si>
    <t>8986 Chinese cases, 6653 Chinese controls, 1612 Japanese cases, 1602 Japanese controls, 2797 European American cases, 2662 European American controls</t>
  </si>
  <si>
    <t>Affymetrix [608247]</t>
  </si>
  <si>
    <t>Illumina [~318327]</t>
  </si>
  <si>
    <t>2480 Japanese individuals, 5767 Han Chinese individuals, 8842 Korean individuals, 2519 Malay individuals</t>
  </si>
  <si>
    <t>Illumina [308011]</t>
  </si>
  <si>
    <t>Illumina [378739]</t>
  </si>
  <si>
    <t>Affymetrix &amp; Illumina [2478304] (imputed)</t>
  </si>
  <si>
    <t>Illumina [548094]</t>
  </si>
  <si>
    <t>Illumina [308330]</t>
  </si>
  <si>
    <t>Illumina [2608509] (imputed)</t>
  </si>
  <si>
    <t>Affymetrix [2748910] (imputed)</t>
  </si>
  <si>
    <t>Illumina [298168]</t>
  </si>
  <si>
    <t>Illumina [318237]</t>
  </si>
  <si>
    <t>Illumina [318167]</t>
  </si>
  <si>
    <t>Illumina [518920]</t>
  </si>
  <si>
    <t>Affymetrix [808465]</t>
  </si>
  <si>
    <t>Illumina [288025]</t>
  </si>
  <si>
    <t>Illumina [298778]</t>
  </si>
  <si>
    <t>Illumina [468458]</t>
  </si>
  <si>
    <t>Affymetrix &amp; Illumina [1348864]</t>
  </si>
  <si>
    <t>Affymetrix [358948] (pooled)</t>
  </si>
  <si>
    <t>Illumina [478359]</t>
  </si>
  <si>
    <t>Illumina [448293]</t>
  </si>
  <si>
    <t>Affymetrix [338079]</t>
  </si>
  <si>
    <t>Illumina [488853]</t>
  </si>
  <si>
    <t>Illumina [~318000]</t>
  </si>
  <si>
    <t>8090 African American individuals</t>
  </si>
  <si>
    <t>8849 African American or African-Caribbean individuals</t>
  </si>
  <si>
    <t>8149 African American ancestry women</t>
  </si>
  <si>
    <t>8651 African American individuals</t>
  </si>
  <si>
    <t>8794 Japanese individuals</t>
  </si>
  <si>
    <t>Illumina [2178645] (imputed)</t>
  </si>
  <si>
    <t>8842 Korean individuals</t>
  </si>
  <si>
    <t>8842 Korean smokers</t>
  </si>
  <si>
    <t>Illumina [298734]</t>
  </si>
  <si>
    <t>Illumina [368274]</t>
  </si>
  <si>
    <t>5698 US and European cases, 38633 US and European controls</t>
  </si>
  <si>
    <t>Illumina [298782]</t>
  </si>
  <si>
    <t>Affymetrix &amp; Illumina [1348798]</t>
  </si>
  <si>
    <t>Affymetrix [408775]</t>
  </si>
  <si>
    <t>Illumina [528745]</t>
  </si>
  <si>
    <t>Illumina [488911]</t>
  </si>
  <si>
    <t>Affymetrix [379319]</t>
  </si>
  <si>
    <t>Illumina [~109365]</t>
  </si>
  <si>
    <t>8625 EA cases, 9657 controls</t>
  </si>
  <si>
    <t>Illumina [229216]</t>
  </si>
  <si>
    <t>9769 German EA individuals</t>
  </si>
  <si>
    <t>9947 EA individuals</t>
  </si>
  <si>
    <t>4576 EA cases,19343 controls</t>
  </si>
  <si>
    <t>Affymetrix [469557]</t>
  </si>
  <si>
    <t>6332 EA cases, 9132 controls</t>
  </si>
  <si>
    <t>Illumina [309200]</t>
  </si>
  <si>
    <t>59349 EA individuals</t>
  </si>
  <si>
    <t>Affymetrix [469218]</t>
  </si>
  <si>
    <t>9746 EA cases + 9746 controls</t>
  </si>
  <si>
    <t>3984 EA cases + 19807 controls, 555 AA cases + 3701 AA controls</t>
  </si>
  <si>
    <t>59082 EA individuals</t>
  </si>
  <si>
    <t>Affymetrix [609482]</t>
  </si>
  <si>
    <t>Illumina [309494]</t>
  </si>
  <si>
    <t>Illumina [329091]</t>
  </si>
  <si>
    <t>29098 EA individuals</t>
  </si>
  <si>
    <t>Affymetrix [79447]</t>
  </si>
  <si>
    <t>9353 EA individuals</t>
  </si>
  <si>
    <t>Affymetrix [359193]</t>
  </si>
  <si>
    <t>Illumina [439282]</t>
  </si>
  <si>
    <t>19856 EA individuals</t>
  </si>
  <si>
    <t>Perlegen [429981]</t>
  </si>
  <si>
    <t>Illumina [~2609000] (imputed)</t>
  </si>
  <si>
    <t>326 adolescent female Japanese cases, 9823 Japanese female controls</t>
  </si>
  <si>
    <t>Illumina [459334]</t>
  </si>
  <si>
    <t>5910 Chinese Han cases, 9916 Chinese Han controls, 713 Chinese Uygur cases, 824 Chinese Uygur controls</t>
  </si>
  <si>
    <t>Illumina [519655]</t>
  </si>
  <si>
    <t>Affymetrix [689368]</t>
  </si>
  <si>
    <t>Illumina [529721]</t>
  </si>
  <si>
    <t>Illumina [559712] (imputed)</t>
  </si>
  <si>
    <t>3551 Hispanic American individuals, 14767 Japanese individuals, 19509 European American individuals</t>
  </si>
  <si>
    <t>Affymetrix &amp; Illumina [2489215] (imputed)</t>
  </si>
  <si>
    <t>Illumina [499544]</t>
  </si>
  <si>
    <t>Illumina [359195]</t>
  </si>
  <si>
    <t>19195 European individuals</t>
  </si>
  <si>
    <t>19633 Japanese individuals</t>
  </si>
  <si>
    <t>Illumina [279621]</t>
  </si>
  <si>
    <t>Illumina [429912]</t>
  </si>
  <si>
    <t>9492 European individuals</t>
  </si>
  <si>
    <t>Illumina [499578]</t>
  </si>
  <si>
    <t>Affymetrix [289118]</t>
  </si>
  <si>
    <t>Affymetrix [419613]</t>
  </si>
  <si>
    <t>Illumina [559119]</t>
  </si>
  <si>
    <t>Illumina [549062]</t>
  </si>
  <si>
    <t>Illumina [489421]</t>
  </si>
  <si>
    <t>Affymetrix [739995]</t>
  </si>
  <si>
    <t>Affymetrix &amp; Illumina [~2399142] (imputed)</t>
  </si>
  <si>
    <t>Illumina [529205]</t>
  </si>
  <si>
    <t>Illumina [389251] (pooled)</t>
  </si>
  <si>
    <t>Illumina [509174]</t>
  </si>
  <si>
    <t>9723 cases of Japanese ancestry, 1815 cases of Korean ancestry, 6589 cases of Chinese ancestry, 8974 controls of Japanese ancestry, 2066 controls of Korean ancestry and 6706 controls of Chinese ancestry</t>
  </si>
  <si>
    <t>Illumina [459359]</t>
  </si>
  <si>
    <t>9316 European individuals</t>
  </si>
  <si>
    <t>Illumina [2339118] (imputed)</t>
  </si>
  <si>
    <t>Illumina [339596]</t>
  </si>
  <si>
    <t>Illumina [7689524] (imputed)</t>
  </si>
  <si>
    <t>Illumina [299983]</t>
  </si>
  <si>
    <t>Illumina [269888]</t>
  </si>
  <si>
    <t>Illumina [489814]</t>
  </si>
  <si>
    <t>Affymetrix [459446]</t>
  </si>
  <si>
    <t>6316 Europeans, 9685 Indian Asians</t>
  </si>
  <si>
    <t>6686 European cases, 9068 European controls</t>
  </si>
  <si>
    <t>Illumina [459687]</t>
  </si>
  <si>
    <t>Illumina [539437]</t>
  </si>
  <si>
    <t>Illumina [539199]</t>
  </si>
  <si>
    <t>Illumina [539391]</t>
  </si>
  <si>
    <t>Illumina [499730]</t>
  </si>
  <si>
    <t>Affymetrix [709355]</t>
  </si>
  <si>
    <t>Affymetrix [549596]</t>
  </si>
  <si>
    <t>Illumina [589945]</t>
  </si>
  <si>
    <t>Affymetrix [1829586] (imputed)</t>
  </si>
  <si>
    <t>Affymetrix [369241]</t>
  </si>
  <si>
    <t>Affymetrix [319222]</t>
  </si>
  <si>
    <t>Illumina [459393]</t>
  </si>
  <si>
    <t>9392 European individuals</t>
  </si>
  <si>
    <t>Illumina [309158]</t>
  </si>
  <si>
    <t>9705 South Asians, 15046 East Asians, 8061 African Americans, 7063 Europeans</t>
  </si>
  <si>
    <t>Illumina [280748]</t>
  </si>
  <si>
    <t>Illumina [~500451]</t>
  </si>
  <si>
    <t>Affymetrix [420287]</t>
  </si>
  <si>
    <t>Affymetrix [~520000]</t>
  </si>
  <si>
    <t>Affymetrix [70591]</t>
  </si>
  <si>
    <t>Affymetrix [~500000] (pooled)</t>
  </si>
  <si>
    <t>Affymetrix [100198] (pooled)</t>
  </si>
  <si>
    <t>60352 EA individuals</t>
  </si>
  <si>
    <t>Affymetrix [~500000]</t>
  </si>
  <si>
    <t>Up to 20623 EA individuals</t>
  </si>
  <si>
    <t>Illumina [~550000]</t>
  </si>
  <si>
    <t>Up to 100347 EA individuals, up to 12889 Indian Asian individuals</t>
  </si>
  <si>
    <t>Affymetrix [290327]</t>
  </si>
  <si>
    <t>Illumina [~500000]</t>
  </si>
  <si>
    <t>Affymetrix [up to 390631]</t>
  </si>
  <si>
    <t>Affymetrix [510552]</t>
  </si>
  <si>
    <t>Illumina [320610]</t>
  </si>
  <si>
    <t>Affymetrix [2540223] (imputed)</t>
  </si>
  <si>
    <t>Affymetrix [430198]</t>
  </si>
  <si>
    <t>Affymetrix [590887]</t>
  </si>
  <si>
    <t>Illumina [1450678] (imputed)</t>
  </si>
  <si>
    <t>Illumina [520460]</t>
  </si>
  <si>
    <t>13597 European cases, up to 40000 European controls</t>
  </si>
  <si>
    <t>Illumina [500510]</t>
  </si>
  <si>
    <t>Illumina [460945]</t>
  </si>
  <si>
    <t>Affymetrix [2110417] (imputed)</t>
  </si>
  <si>
    <t>Illumina [510687]</t>
  </si>
  <si>
    <t>Illumina [480279]</t>
  </si>
  <si>
    <t>Illumina [~610000]</t>
  </si>
  <si>
    <t>Illumina [530683]</t>
  </si>
  <si>
    <t>Illumina [540573]</t>
  </si>
  <si>
    <t>Illumina [up to ~2000000] (imputed)</t>
  </si>
  <si>
    <t>Illumina [~300000]</t>
  </si>
  <si>
    <t>10074 European individuals</t>
  </si>
  <si>
    <t>10112 Japanese individuals</t>
  </si>
  <si>
    <t>Affymetrix [300909]</t>
  </si>
  <si>
    <t>2891 Han Chinese cases, 10071 Han Chinese controls</t>
  </si>
  <si>
    <t>Up to 30395 East Asian ancestry individuals</t>
  </si>
  <si>
    <t>Illumina [~370000]</t>
  </si>
  <si>
    <t>Affymetrix [440734]</t>
  </si>
  <si>
    <t>Illumina [890321]</t>
  </si>
  <si>
    <t>up to 30620 European individuals</t>
  </si>
  <si>
    <t>10040 Icelandic women</t>
  </si>
  <si>
    <t>Affymetrix [~320250]</t>
  </si>
  <si>
    <t>Illumina [530992]</t>
  </si>
  <si>
    <t>Illumina [~600000]</t>
  </si>
  <si>
    <t>Invader [50464]</t>
  </si>
  <si>
    <t>Illumina [610000]</t>
  </si>
  <si>
    <t>Illumina [~500000] (pooled)</t>
  </si>
  <si>
    <t>Illumina [420885]</t>
  </si>
  <si>
    <t>Perlegen [210785]</t>
  </si>
  <si>
    <t>435 Icelandic bipolar cases, 10258 Icelandic controls</t>
  </si>
  <si>
    <t>Affymetrix [up to 620390]</t>
  </si>
  <si>
    <t>Illumina [~2000000] (imputed)</t>
  </si>
  <si>
    <t>Illumina [2120505]</t>
  </si>
  <si>
    <t>Illumina [510537]</t>
  </si>
  <si>
    <t>Illumina [5340737] (imputed)</t>
  </si>
  <si>
    <t>10282 European cases, 21093 European controls</t>
  </si>
  <si>
    <t>2731 European cases, 10747 European controls</t>
  </si>
  <si>
    <t>3202 European cases, 40062 European controls</t>
  </si>
  <si>
    <t>Illumina [310613]</t>
  </si>
  <si>
    <t>Illumina [up to 660918] (pooled)</t>
  </si>
  <si>
    <t>Illumina [440794]</t>
  </si>
  <si>
    <t>Illumina [480365]</t>
  </si>
  <si>
    <t>Affymetrix [420005]</t>
  </si>
  <si>
    <t>Illumina [250507]</t>
  </si>
  <si>
    <t>Illumina [up to ~550000] (imputed)</t>
  </si>
  <si>
    <t>Affymetrix [2540233] (imputed)</t>
  </si>
  <si>
    <t>Affymetrix [610664]</t>
  </si>
  <si>
    <t>Invader [80000]</t>
  </si>
  <si>
    <t>10692 Japanese cases, 9597 Japanese controls, 6980 European cases, 8615 controls</t>
  </si>
  <si>
    <t>Affymetrix [400230]</t>
  </si>
  <si>
    <t>Illumina [660740]</t>
  </si>
  <si>
    <t>Illumina [~550000] (pooled)</t>
  </si>
  <si>
    <t>Illumina [520767]</t>
  </si>
  <si>
    <t>Affymetrix [390631] (imputed)</t>
  </si>
  <si>
    <t>Illumina [300766]</t>
  </si>
  <si>
    <t>Illumina [460183]</t>
  </si>
  <si>
    <t>Affymetrix [360811]</t>
  </si>
  <si>
    <t>Illumina [2380486] (imputed)</t>
  </si>
  <si>
    <t>Illumina [620901] (pooled)</t>
  </si>
  <si>
    <t>Affymetrix [320438]</t>
  </si>
  <si>
    <t>4570 European cases, 10143 Finnish controls</t>
  </si>
  <si>
    <t>Illumina [520459]</t>
  </si>
  <si>
    <t>Affymetrix [700022]</t>
  </si>
  <si>
    <t>Illumina [~800000]</t>
  </si>
  <si>
    <t>Illumina [270875]</t>
  </si>
  <si>
    <t>Affymetrix [390619 ]</t>
  </si>
  <si>
    <t>Illumina [100864]</t>
  </si>
  <si>
    <t>Affymetrix [390619]</t>
  </si>
  <si>
    <t>Illumina [450326]</t>
  </si>
  <si>
    <t>Illumina [420236]</t>
  </si>
  <si>
    <t>Illumina [310520]</t>
  </si>
  <si>
    <t>Up to 10352 Icelandic individuals</t>
  </si>
  <si>
    <t>Illumina [up to 39027]</t>
  </si>
  <si>
    <t>2023 EA individuals with major depressive disorder</t>
  </si>
  <si>
    <t>1051 EA cases, 3560 EA controls</t>
  </si>
  <si>
    <t>51 EA individuals</t>
  </si>
  <si>
    <t>1000 EA cases, 1034 EA controls</t>
  </si>
  <si>
    <t>1000 EA samples</t>
  </si>
  <si>
    <t>2222 EA cases, 16363 EA controls</t>
  </si>
  <si>
    <t>1005 EA women</t>
  </si>
  <si>
    <t>518 EA women</t>
  </si>
  <si>
    <t>1012 EA samples</t>
  </si>
  <si>
    <t>5142 Chinese cases, 6910 Chinese controls, 2591 EA cases, 3052 EA controls, 1042 Korean cases, 2943 Korean controls</t>
  </si>
  <si>
    <t>1070 (unspecified) cases + 1488 controls, 400 EA cases, 444 EA controls</t>
  </si>
  <si>
    <t>1087 EA samples</t>
  </si>
  <si>
    <t>1892 EA obese or overweight children and adolescents, 3763 EA normal or underweight controls, up to 2943 EA samples (from families)</t>
  </si>
  <si>
    <t>1141 EA samples</t>
  </si>
  <si>
    <t>1156 sporadic Creutzfeldt-Jakob cases of EA , 125 variant Creutzfeldt-Jakob cases of EA, 6015 EA controls, 165 Kuru cases of Papua New Guinea ancestry, 125 Kuru-resistant individuals of Papua New Guinea ancestry, 286 controls of Papua New Guinea ancestry</t>
  </si>
  <si>
    <t>7303 EA cases, 26274 EA controls</t>
  </si>
  <si>
    <t>1179 EA cases, 1108 EA controls</t>
  </si>
  <si>
    <t>1165 EA cases, 1302 EA controls</t>
  </si>
  <si>
    <t>712 Chinese Han cases, 748 Chinese Han controls, 1238 EA cases, 1172 EA controls</t>
  </si>
  <si>
    <t>1201 EA attempters, 1497 EA non-attempters</t>
  </si>
  <si>
    <t>1238 EA samples</t>
  </si>
  <si>
    <t>1265 EA cases, 5188 EA controls</t>
  </si>
  <si>
    <t>3957 EA cases, 6886 EA controls</t>
  </si>
  <si>
    <t>1283 EA cases, ~20000 EA controls</t>
  </si>
  <si>
    <t>3119 EA cases, 11146 EA controls</t>
  </si>
  <si>
    <t>1305 EA children</t>
  </si>
  <si>
    <t>1695 EA children</t>
  </si>
  <si>
    <t>1339 EA cases</t>
  </si>
  <si>
    <t>677 EA cases</t>
  </si>
  <si>
    <t>1341 EA samples</t>
  </si>
  <si>
    <t>1392 EA cases, 2629 EA controls</t>
  </si>
  <si>
    <t>647 EA cases, 1056 EA controls, 549 EA individuals (from trios), 1383 EA individuals (from multiplex families)</t>
  </si>
  <si>
    <t>1470 EA cases</t>
  </si>
  <si>
    <t>1504 EA women</t>
  </si>
  <si>
    <t>1523 EA women</t>
  </si>
  <si>
    <t>435 EA women</t>
  </si>
  <si>
    <t>1539 EA cases, 3917 EA controls</t>
  </si>
  <si>
    <t>2312 EA cases, 1867 EA controls</t>
  </si>
  <si>
    <t>626 EA individuals</t>
  </si>
  <si>
    <t>1618 EA cases, 3413 EA controls</t>
  </si>
  <si>
    <t>2256 EA cases, 2310 EA controls</t>
  </si>
  <si>
    <t>19845 EA cases, 16541 EA controls</t>
  </si>
  <si>
    <t>1627 EA child cases, 3254 EA child controls</t>
  </si>
  <si>
    <t>624 EA child cases, 2843 EA child controls</t>
  </si>
  <si>
    <t>1728 EA individuals</t>
  </si>
  <si>
    <t>2286 EA individuals</t>
  </si>
  <si>
    <t>1654 EA individuals</t>
  </si>
  <si>
    <t>1675 EA cases, 5903 EA controls</t>
  </si>
  <si>
    <t>169 EA cases, 927 EA controls</t>
  </si>
  <si>
    <t>1694 British cases, 2365 British controls, 1145 EA cases, 1142 EA controls</t>
  </si>
  <si>
    <t>1713 EA cases, 3978 EA controls</t>
  </si>
  <si>
    <t>3361 EA cases, 4573 EA controls</t>
  </si>
  <si>
    <t>1768 EA cases, 2353 EA controls</t>
  </si>
  <si>
    <t>8739 EA cases, 10831 EA controls</t>
  </si>
  <si>
    <t>1768 EA cases, 2354 EA controls</t>
  </si>
  <si>
    <t>8709 EA cases, 51764 EA controls</t>
  </si>
  <si>
    <t>1771 EA cases, 1805 EA controls</t>
  </si>
  <si>
    <t>2120 EA cases, 2127 EA controls</t>
  </si>
  <si>
    <t>1772 EA individuals</t>
  </si>
  <si>
    <t>1804 EA cases, 1026 EA controls</t>
  </si>
  <si>
    <t>1808 EA AngCAD cases, 915 EA AngCAD controls, 4572 EA AngCAD with MI cases, 2739 EA AngCAD without MI controls</t>
  </si>
  <si>
    <t>10585 EA AngCAD cases, 6468 EA AngCAD controls, 1211 EA AngCAD with MI cases, 905 EA AngCAD without MI controls</t>
  </si>
  <si>
    <t>1817 EA cases, 2353 EA controls</t>
  </si>
  <si>
    <t>6944 EA cases, 9477 EA controls</t>
  </si>
  <si>
    <t>1840 EA cases, 5163 EA controls, ~453 Italian cases, ~945 Italian controls, ~481 Canadian cases, ~3706 Canadian controls</t>
  </si>
  <si>
    <t>620 EA cases, 2514 EA controls</t>
  </si>
  <si>
    <t>1854 EA cases, 1894 EA controls</t>
  </si>
  <si>
    <t>1979 EA individuals</t>
  </si>
  <si>
    <t>5628 EA individuals</t>
  </si>
  <si>
    <t>10280 EA individuals</t>
  </si>
  <si>
    <t>106 EA osteoblast samples under different treatment conditions</t>
  </si>
  <si>
    <t>110 Northern EA celiac disease samples</t>
  </si>
  <si>
    <t>111 EA cases, 5951 EA controls</t>
  </si>
  <si>
    <t>112 EA children cases, 165 EA children controls</t>
  </si>
  <si>
    <t>887 cases EA + 1218 controls, 1860 EA cases + 2938 controls</t>
  </si>
  <si>
    <t>115 EA cases, 2976 EA controls</t>
  </si>
  <si>
    <t>76 EA cases</t>
  </si>
  <si>
    <t>12501 EA cases</t>
  </si>
  <si>
    <t>12526 EA individuals</t>
  </si>
  <si>
    <t>12612 EA individuals</t>
  </si>
  <si>
    <t>4094 EA individuals</t>
  </si>
  <si>
    <t>127 EA cases, 290 controls</t>
  </si>
  <si>
    <t>127 EA prefrontal cortex samples (from Stanley brain bank)</t>
  </si>
  <si>
    <t>1295 EA cases + 1822 controls, 176 EA cases + 1097 controls</t>
  </si>
  <si>
    <t>1201 EA cases + 1497 controls, 133 EA cases + 1516 controls</t>
  </si>
  <si>
    <t>840 EA females</t>
  </si>
  <si>
    <t>131 EA responders, 162 EA non-responders</t>
  </si>
  <si>
    <t>1345 EA individuals</t>
  </si>
  <si>
    <t>135 EA children with asthma, 134 EA children with rhinoconjunctivitis</t>
  </si>
  <si>
    <t>149 EA liver samples</t>
  </si>
  <si>
    <t>427 EA liver tissues</t>
  </si>
  <si>
    <t>156 EA cases from 34 high-risk pedigrees, 2150 EA controls</t>
  </si>
  <si>
    <t>590 EA cases</t>
  </si>
  <si>
    <t>16264 EA individuals</t>
  </si>
  <si>
    <t>1627 EA cases and 2575 controls</t>
  </si>
  <si>
    <t>398 EA cases and 1507 controls, 115 EA cases and 680 controls</t>
  </si>
  <si>
    <t>164 morbidly obese EA individuals, 163 lean EA individuals</t>
  </si>
  <si>
    <t>4674 morbidly obese EA individuals, 5663 lean EA individuals</t>
  </si>
  <si>
    <t>17375 EA adults</t>
  </si>
  <si>
    <t>3294 EA adults</t>
  </si>
  <si>
    <t>Up to 7423 EA samples, Up to 2049 (unspecified) samples</t>
  </si>
  <si>
    <t>1765 EA cases + 1634 controls</t>
  </si>
  <si>
    <t>816 EA cases and 517 controls</t>
  </si>
  <si>
    <t>178 EA antibody-positive individuals, 178 EA antibody-negative individuals</t>
  </si>
  <si>
    <t>350 EA antibody-positive individuals, 468 EA antibody-negative individuals</t>
  </si>
  <si>
    <t>179 EA cases, 1917 EA controls</t>
  </si>
  <si>
    <t>109 EA cases, 1114 EA controls</t>
  </si>
  <si>
    <t>1797 German (EA) samples</t>
  </si>
  <si>
    <t>18425 EA females</t>
  </si>
  <si>
    <t>186 French EA cases and 697 controls</t>
  </si>
  <si>
    <t>335 (unspecified ancestry) cases, 156 EA cases, 556 European cases</t>
  </si>
  <si>
    <t>188 EA normal cortical samples, 176 EA LOAD cases</t>
  </si>
  <si>
    <t>627 EA cases, 541 EA controls</t>
  </si>
  <si>
    <t>189 EA cases, 592 European controls</t>
  </si>
  <si>
    <t>456 EA cases, 2785 EA controls</t>
  </si>
  <si>
    <t>190 EA schizophrenia cases, 157 EA  bipolar disorder cases, 353 EA controls</t>
  </si>
  <si>
    <t>195 EA</t>
  </si>
  <si>
    <t>2000 EA cases, 1986 EA controls</t>
  </si>
  <si>
    <t>2045 EA cases, 6013 EA controls</t>
  </si>
  <si>
    <t>1426 EA cases, 4845 EA controls</t>
  </si>
  <si>
    <t>2091 EA cases, 8334 EA controls</t>
  </si>
  <si>
    <t>8744 EA cases, 11982 EA controls</t>
  </si>
  <si>
    <t>2178 EA cases, 5175 EA controls</t>
  </si>
  <si>
    <t>3174 EA cases, 5464 EA controls</t>
  </si>
  <si>
    <t>2191 EA cases, 1434 EA controls</t>
  </si>
  <si>
    <t>2234 EA cases, 41603 EA controls</t>
  </si>
  <si>
    <t>3371 EA cases, 10261 EA controls, 269 Iranian cases, 246 Iranian controls</t>
  </si>
  <si>
    <t>2296 EA cases, 5171 EA controls</t>
  </si>
  <si>
    <t>2753 EA cases, 4569 EA controls</t>
  </si>
  <si>
    <t>2296 EA cases, 5172 EA controls</t>
  </si>
  <si>
    <t>3175 EA cases, 4210 EA controls</t>
  </si>
  <si>
    <t>2361 EA cases, 5417 EA controls</t>
  </si>
  <si>
    <t>2321 EA cases, 4818 EA controls</t>
  </si>
  <si>
    <t>2371 EA cases, 35909 EA controls</t>
  </si>
  <si>
    <t>4338 EA cases, 8530 EA controls, 1183 East Asian ancestry cases, 1245 East Asian ancestry controls</t>
  </si>
  <si>
    <t>2413 EA cases, 6158 EA controls</t>
  </si>
  <si>
    <t>1013 EA cases, 5805 EA controls</t>
  </si>
  <si>
    <t>2431 EA cases, 3673 EA controls</t>
  </si>
  <si>
    <t>2446 EA cases, 8534 EA controls</t>
  </si>
  <si>
    <t>2591 EA cases, 3052 EA controls</t>
  </si>
  <si>
    <t>2594 EA cases, 4134 EA controls</t>
  </si>
  <si>
    <t>2633 EA extremely obese adults, 2740 EA controls</t>
  </si>
  <si>
    <t>29181 EA individuals</t>
  </si>
  <si>
    <t>2681 EA cases, 2653 EA controls, 1286 African American cases, 973 African American controls</t>
  </si>
  <si>
    <t>5327 EA cases, 16424 EA controls</t>
  </si>
  <si>
    <t>2702 EA women, 5726 EA controls</t>
  </si>
  <si>
    <t>Up to 7386 EA cases, 7576 EA controls</t>
  </si>
  <si>
    <t>2782 EA cases, 4458 EA controls</t>
  </si>
  <si>
    <t>8217 EA cases, 6732 EA controls</t>
  </si>
  <si>
    <t>2804 EA cases, 7618 EA controls</t>
  </si>
  <si>
    <t>5551 EA cases, 7449 EA controls</t>
  </si>
  <si>
    <t>2809 EA individuals</t>
  </si>
  <si>
    <t>2978 EA cases, 2859 EA controls</t>
  </si>
  <si>
    <t>7071 EA cases, 678 Japanese cases, 4289 EA controls, 336 Japanese controls</t>
  </si>
  <si>
    <t>20288 EA individuals</t>
  </si>
  <si>
    <t>up to 54276 EA individuals</t>
  </si>
  <si>
    <t>20611 EA individuals</t>
  </si>
  <si>
    <t>20634 EA individuals</t>
  </si>
  <si>
    <t>5306 EA individuals</t>
  </si>
  <si>
    <t>20890 EA individuals</t>
  </si>
  <si>
    <t>16178 EA individuals</t>
  </si>
  <si>
    <t>201 EA cases, 532 EA controls</t>
  </si>
  <si>
    <t>202 EA more aggressive cases, 100 EA controls</t>
  </si>
  <si>
    <t>527 EA more aggressive cases, 595 EA less aggressive cases, 1167 EA controls</t>
  </si>
  <si>
    <t>2020 EA individuals</t>
  </si>
  <si>
    <t>21052 EA individuals</t>
  </si>
  <si>
    <t>693 EA cases + 692 controls</t>
  </si>
  <si>
    <t>22161 EA individuals</t>
  </si>
  <si>
    <t>22233 EA cases, 64762 EA controls</t>
  </si>
  <si>
    <t>22435 EA women</t>
  </si>
  <si>
    <t>239 Northern EA cases, 107 Northern EA controls</t>
  </si>
  <si>
    <t>24167 EA individuals</t>
  </si>
  <si>
    <t>9456 EA individuals</t>
  </si>
  <si>
    <t>25007 EA individuals</t>
  </si>
  <si>
    <t>10411 EA individuals</t>
  </si>
  <si>
    <t>254 EA cases + 268 controls</t>
  </si>
  <si>
    <t>EA samples: 188 cases/150 controls, 180 cases/180 controls, 368 prostate cancer cases</t>
  </si>
  <si>
    <t>26316 EA individuals</t>
  </si>
  <si>
    <t>21185 EA individuals</t>
  </si>
  <si>
    <t>2793 EA individuals</t>
  </si>
  <si>
    <t>3138 EA cases and 3830 EA controls</t>
  </si>
  <si>
    <t>222 EA small cell lung cancer cases, 961 EA non-small cell lung cancer cases</t>
  </si>
  <si>
    <t>288 EA cases + 344 controls, 242 EA cases + 156 controls, 199 Norwegian (unspecified) cases and 191 controls, 214 German (unspecified) cases and 129 controls, 168 Greek (unspecified) cases and 69 controls</t>
  </si>
  <si>
    <t>294 EA cases</t>
  </si>
  <si>
    <t>299 EA Epstein-Barr transformed B-lymphoblastoid cell lines from twins</t>
  </si>
  <si>
    <t>86 EA samples and 57 HapMap CEU samples</t>
  </si>
  <si>
    <t>3012 EA individuals</t>
  </si>
  <si>
    <t>3023 EA cases, 8779 EA controls</t>
  </si>
  <si>
    <t>2111 EA cases, 4483 EA controls</t>
  </si>
  <si>
    <t>3042 EA individuals</t>
  </si>
  <si>
    <t>3194 EA cases, 7060 EA controls</t>
  </si>
  <si>
    <t>3230 EA Crohn's disease cases, 4829 EA Crohn's disease controls, 768 EA celiac disease cases, 1422 EA celiac disease controls</t>
  </si>
  <si>
    <t>3149 EA Crohn's disease cases, 4714 EA Crohn's disease controls, 1835 EA celiac disease cases, 1669 EA celiac disease controls</t>
  </si>
  <si>
    <t>3334 EA cases, 4628 EA controls</t>
  </si>
  <si>
    <t>14851 EA cases, 15569 EA controls</t>
  </si>
  <si>
    <t>3417 EA individuals</t>
  </si>
  <si>
    <t>3499 EA cases, 1922 EA controls</t>
  </si>
  <si>
    <t>3554 EA individuals</t>
  </si>
  <si>
    <t>2460 EA individuals</t>
  </si>
  <si>
    <t>3620 EA individuals</t>
  </si>
  <si>
    <t>1290 EA individuals</t>
  </si>
  <si>
    <t>3933 EA cases, 8965 EA controls</t>
  </si>
  <si>
    <t>3941 EA cases, 7848 EA controls</t>
  </si>
  <si>
    <t>2023 EA cases, 2340 EA controls</t>
  </si>
  <si>
    <t>3972 Italian individuals, 839 EA individuals</t>
  </si>
  <si>
    <t>302 EA  cases, 321 EA controls</t>
  </si>
  <si>
    <t>31266 EA individuals</t>
  </si>
  <si>
    <t>31580 EA individuals</t>
  </si>
  <si>
    <t>31277 EA individuals</t>
  </si>
  <si>
    <t>313 EA men</t>
  </si>
  <si>
    <t>319 EA cases, 3462 EA controls</t>
  </si>
  <si>
    <t>615 EA cases, 702 EA controls</t>
  </si>
  <si>
    <t>7172 EA cases, 11335 EA controls</t>
  </si>
  <si>
    <t>320 EA cases + 325</t>
  </si>
  <si>
    <t>328 South Asian samples, 302 Chinese samples, 268 EA samples</t>
  </si>
  <si>
    <t>335 EA cases and 335 controls</t>
  </si>
  <si>
    <t>1167 EA cases and 567 controls</t>
  </si>
  <si>
    <t>1512 German cases, 2415 German controls, 1160 Dutch individuals, 991 African Americans, 1636 EA cases, 7246 EA controls</t>
  </si>
  <si>
    <t>3695 EA samples, 1834 mixed (unspecified) ancestry, 813 EA (Hutterites)</t>
  </si>
  <si>
    <t>37 EA cases, 34 EA controls</t>
  </si>
  <si>
    <t>3740 EA samples</t>
  </si>
  <si>
    <t>378 EA British LCL cell lines, 347 EA cases LCL cell lines + 487 controls, 110 (unspecified) skin samples, 2045 EA cases + 6013 controls</t>
  </si>
  <si>
    <t>278 EA cases + 1262 controls</t>
  </si>
  <si>
    <t>1049 EA cases, 3952 EA controls</t>
  </si>
  <si>
    <t>38991 EA individuals</t>
  </si>
  <si>
    <t>1582 EA cases, 1783 EA controls</t>
  </si>
  <si>
    <t>39 EA severe statin myopathy cases, 40 EA controls</t>
  </si>
  <si>
    <t>67 EA severe statin myopathy cases, 42 EA controls</t>
  </si>
  <si>
    <t>390 EA cases + 364 controls</t>
  </si>
  <si>
    <t>393 EA cases, 3315 EA controls</t>
  </si>
  <si>
    <t>113 EA cases, 214 EA controls</t>
  </si>
  <si>
    <t>397 EA depressive disorder cases</t>
  </si>
  <si>
    <t>501 EA depressive disorder cases</t>
  </si>
  <si>
    <t>3972 EA Italian samples</t>
  </si>
  <si>
    <t>4147 EA cases, 7435 EA controls</t>
  </si>
  <si>
    <t>4212 EA individuals</t>
  </si>
  <si>
    <t>2136 EA individuals</t>
  </si>
  <si>
    <t>13414 EA adults</t>
  </si>
  <si>
    <t>4501 EA individuals</t>
  </si>
  <si>
    <t>2221 EA individuals</t>
  </si>
  <si>
    <t>4533 EA celiac disease cases, 5539 EA rheumatoid arthritis cases, 27981 EA controls</t>
  </si>
  <si>
    <t>4857 EA cases, 8987 EA controls</t>
  </si>
  <si>
    <t>40 EA cases, 40 EA controls</t>
  </si>
  <si>
    <t>40407 EA individuals</t>
  </si>
  <si>
    <t>7170 EA individuals</t>
  </si>
  <si>
    <t>402 EA schizophrenia cases, 1021 EA bipolar I cases, 493 EA bipolar II cases, 1210 EA MDD cases, 1060 EA controls</t>
  </si>
  <si>
    <t>405 EA cases, 6252 EA controls</t>
  </si>
  <si>
    <t>1815 EA individuals and 405 unspecified individuals (from trios), 139 additional discordant EA siblings, 1028 East Asian ancestry cases, 1512 East Asian ancestry controls</t>
  </si>
  <si>
    <t>41692 EA individuals</t>
  </si>
  <si>
    <t>16717 EA individuals</t>
  </si>
  <si>
    <t>419 EA cases, 474 EA controls</t>
  </si>
  <si>
    <t>Up to 1277 EA cases and 3061 EA controls</t>
  </si>
  <si>
    <t>4251 EA samples</t>
  </si>
  <si>
    <t>5949 EA samples, 536 EA samples</t>
  </si>
  <si>
    <t>7451 EA cases, 3267 EA controls</t>
  </si>
  <si>
    <t>461 EA cases, 408 EA controls</t>
  </si>
  <si>
    <t>463 EA cases, 1197 EA controls</t>
  </si>
  <si>
    <t>1070 EA cases + 1488 controls, 516 EA cases + 1202 controls</t>
  </si>
  <si>
    <t>467 EA cases, 407 EA controls</t>
  </si>
  <si>
    <t>47431 EA individuals</t>
  </si>
  <si>
    <t>472 EA individuals (from families)</t>
  </si>
  <si>
    <t>48201 EA individuals</t>
  </si>
  <si>
    <t>46411 EA individuals</t>
  </si>
  <si>
    <t>488 EA cases, 439 EA controls</t>
  </si>
  <si>
    <t>436 EA cases, 235 EA controls</t>
  </si>
  <si>
    <t>495 EA cases, 1881 EA controls</t>
  </si>
  <si>
    <t>495 EA child and adolescent cases, 1300 EA adult controls</t>
  </si>
  <si>
    <t>5088 EA women</t>
  </si>
  <si>
    <t>3662 EA individuals</t>
  </si>
  <si>
    <t>5122 EA cases, 18108 EA controls</t>
  </si>
  <si>
    <t>3831 EA cases, 13889 EA controls</t>
  </si>
  <si>
    <t>5122 EA women migraineurs</t>
  </si>
  <si>
    <t>5333 EA cases, 12019 EA controls</t>
  </si>
  <si>
    <t>7053 EA cases, 9007 EA controls</t>
  </si>
  <si>
    <t>5539 EA cases, 20169 EA controls</t>
  </si>
  <si>
    <t>6768 EA cases, 8806 EA controls</t>
  </si>
  <si>
    <t>5545 EA cases, 12153 EA controls</t>
  </si>
  <si>
    <t>5568 EA cases, 7187 EA controls, 1000 Taiwanese cases, 1000 Taiwanese controls</t>
  </si>
  <si>
    <t>1115 EA cases, 2728 EA controls</t>
  </si>
  <si>
    <t>5606 EA cases, 20565 EA controls</t>
  </si>
  <si>
    <t>5419 EA cases, 19833 EA controls</t>
  </si>
  <si>
    <t>5036 EA samples</t>
  </si>
  <si>
    <t>9463 EA samples</t>
  </si>
  <si>
    <t>5059 EA samples</t>
  </si>
  <si>
    <t>506 British (EA) cases and 510 controls</t>
  </si>
  <si>
    <t>52 EA (CEU) LCL from HapMap</t>
  </si>
  <si>
    <t>52 additional European (CEPH) ancestry cell lines, 1703 EA cancer cases</t>
  </si>
  <si>
    <t>525 EA individuals</t>
  </si>
  <si>
    <t>535 EA cases, 3432 EA controls</t>
  </si>
  <si>
    <t>1931 EA cases, 6785 EA controls</t>
  </si>
  <si>
    <t>557 EA adolescents</t>
  </si>
  <si>
    <t>2601 EA adolescents</t>
  </si>
  <si>
    <t>57 EA skin samples from normal individuals (buttocks), 53  EA skin samples from psoriatic individuals (lesional plaques on buttock), 53  EA skin samples from psoriatic individuals (unaffected skin on buttocks)</t>
  </si>
  <si>
    <t>581 EA male cases, 617 EA male controls</t>
  </si>
  <si>
    <t>461 EA male cases, 151 EA male controls</t>
  </si>
  <si>
    <t>589 EA cases, 5199 EA controls</t>
  </si>
  <si>
    <t>2057 EA cases, 3416 EA controls</t>
  </si>
  <si>
    <t>598 EA adolescent individuals</t>
  </si>
  <si>
    <t>6307 EA individuals</t>
  </si>
  <si>
    <t>6621 EA cases, 6939 EA controls</t>
  </si>
  <si>
    <t>22957 EA cases, 23234 EA controls, 285 Japanese cases, 298 Japanese controls, 135 Chinese cases, 135 Chinese controls, 112 African American cases, 298 African American controls, 7140 cases, 5455 controls</t>
  </si>
  <si>
    <t>6687 EA cases, 19718 EA controls</t>
  </si>
  <si>
    <t>9628 EA cases, 12917 EA controls</t>
  </si>
  <si>
    <t>6688 EA cases, 13685 EA controls</t>
  </si>
  <si>
    <t>13182 EA cases, 26161 EA controls</t>
  </si>
  <si>
    <t>6819 EA individuals</t>
  </si>
  <si>
    <t>60 EA Epstein-Barr transformed B cell lines (HapMap CEU)</t>
  </si>
  <si>
    <t>606 EA French cases and 629 controls, 210 (unspecified) cases and 189 controls</t>
  </si>
  <si>
    <t>640 EA cases and 41607 controls</t>
  </si>
  <si>
    <t>29997 EA cases (non-discovery), 307 Netherlands cases and 921 controls, 144 Spanish cases and 896 controls, 55 Finnish cases and 1000 controls</t>
  </si>
  <si>
    <t>640 EA individuals</t>
  </si>
  <si>
    <t>344 EA individuals</t>
  </si>
  <si>
    <t>65 EA cases, 3987 EA controls</t>
  </si>
  <si>
    <t>80 EA cases, 257 EA controls</t>
  </si>
  <si>
    <t>653 EA cases + 784 controls</t>
  </si>
  <si>
    <t>66185 EA individuals</t>
  </si>
  <si>
    <t>16540 EA individuals</t>
  </si>
  <si>
    <t>661 EA cases</t>
  </si>
  <si>
    <t>67 EA cases, 5633 EA controls</t>
  </si>
  <si>
    <t>256 EA cases, 5839 EA controls</t>
  </si>
  <si>
    <t>673 EA individuals</t>
  </si>
  <si>
    <t>834 EA individuals</t>
  </si>
  <si>
    <t>69 EA British adipose samples</t>
  </si>
  <si>
    <t>40 EA British adipose samples</t>
  </si>
  <si>
    <t>692 EA cases, 1001 EA controls</t>
  </si>
  <si>
    <t>481 EA cases, 520 EA controls</t>
  </si>
  <si>
    <t>7176 EA individuals</t>
  </si>
  <si>
    <t>592 EA cases, 1405 EA controls</t>
  </si>
  <si>
    <t>7481 EA cases, 9250 EA controls</t>
  </si>
  <si>
    <t>4496 EA cases, 42422 EA controls</t>
  </si>
  <si>
    <t>7514 EA cases, 9045 EA controls</t>
  </si>
  <si>
    <t>4840 EA cases, 2670 EA controls, 4152 EA familial triads</t>
  </si>
  <si>
    <t>705 EA samples</t>
  </si>
  <si>
    <t>707 EA cases</t>
  </si>
  <si>
    <t>729 EA cases, 656 EA controls</t>
  </si>
  <si>
    <t>991 EA cases, 2021 EA controls</t>
  </si>
  <si>
    <t>738 EA samples</t>
  </si>
  <si>
    <t>7386 EA samples</t>
  </si>
  <si>
    <t>74064 EA individuals</t>
  </si>
  <si>
    <t>48607 EA individuals</t>
  </si>
  <si>
    <t>741 EA cases, 2699 EA controls</t>
  </si>
  <si>
    <t>745 EA samples</t>
  </si>
  <si>
    <t>749 EA individuals</t>
  </si>
  <si>
    <t>2279 EA individuals</t>
  </si>
  <si>
    <t>755 EA seroconverters</t>
  </si>
  <si>
    <t>765 EA cases, 874 EA controls</t>
  </si>
  <si>
    <t>548 EA cases, 626 EA controls</t>
  </si>
  <si>
    <t>77 EA (CEU) from HapMap</t>
  </si>
  <si>
    <t>793 EA child cases, 1988 EA child controls</t>
  </si>
  <si>
    <t>917 EA child cases, 1546 EA child controls, 1667 African American child cases, 2045 African American child controls</t>
  </si>
  <si>
    <t>8048 EA individuals</t>
  </si>
  <si>
    <t>1376 EA individuals</t>
  </si>
  <si>
    <t>8309 EA cases, 7366 EA controls</t>
  </si>
  <si>
    <t>10523 EA cases, 28231 EA controls</t>
  </si>
  <si>
    <t>8424 EA cases, 7268 EA controls, 6996 South Asian cases, 7794 South Asian controls</t>
  </si>
  <si>
    <t>18049 EA cases, 16357 EA controls, 3359 South Asian cases, 2828 South Asian controls</t>
  </si>
  <si>
    <t>8531 EA individuals</t>
  </si>
  <si>
    <t>8754 EA samples (from families)</t>
  </si>
  <si>
    <t>1366 African American (from families), 671 EA (from families)</t>
  </si>
  <si>
    <t>8866 EA individuals</t>
  </si>
  <si>
    <t>8918 EA individuals, 3947 Indian Asians</t>
  </si>
  <si>
    <t>8472 EA British samples</t>
  </si>
  <si>
    <t>16041 EA samples</t>
  </si>
  <si>
    <t>859 EA cases, 704 EA controls</t>
  </si>
  <si>
    <t>774 EA cases, 1764 EA controls</t>
  </si>
  <si>
    <t>87802 EA women</t>
  </si>
  <si>
    <t>871 EA cases, 863 EA controls</t>
  </si>
  <si>
    <t>1460 EA cases, 12995 EA controls</t>
  </si>
  <si>
    <t>890 EA children</t>
  </si>
  <si>
    <t>896 EA cases, 2455 EA controls</t>
  </si>
  <si>
    <t>899 EA affected BRCA2 carriers, 804 EA unaffected BRCA2 carriers</t>
  </si>
  <si>
    <t>9126 Northern EA individuals</t>
  </si>
  <si>
    <t>9136 EA individuals</t>
  </si>
  <si>
    <t>3581 EA individuals</t>
  </si>
  <si>
    <t>9394 EA cases, 12462 EA controls</t>
  </si>
  <si>
    <t>8442 EA cases, 21397 EA controls</t>
  </si>
  <si>
    <t>9961 EA individuals</t>
  </si>
  <si>
    <t>6032 EA individuals</t>
  </si>
  <si>
    <t>900 EA women with low hip bone mineral density, 1055 EA women with high hip bone mineral density</t>
  </si>
  <si>
    <t>20898 EA women</t>
  </si>
  <si>
    <t>922 EA cases, 1526 EA controls</t>
  </si>
  <si>
    <t>3935 EA cases, 5754 EA controls</t>
  </si>
  <si>
    <t>93 EA cases, 1504 EA controls</t>
  </si>
  <si>
    <t>42 EA cases</t>
  </si>
  <si>
    <t>93 EA cortical autopsy samples, 80 EA healthy PBMC samples</t>
  </si>
  <si>
    <t>968 EA cases, 41675 EA controls, 15506 EA samples for uric acid</t>
  </si>
  <si>
    <t>4115 mostly EA cases and controls</t>
  </si>
  <si>
    <t>973 EA cases, 1856 EA controls</t>
  </si>
  <si>
    <t>979 EA cases, 1709 EA controls</t>
  </si>
  <si>
    <t>540 Japanese cases + 425 controls, 545 Japanese cases + 500 controls, 479 EA cases + 2937 controls</t>
  </si>
  <si>
    <t>Up to 1054 EA cases, 3278 EA controls</t>
  </si>
  <si>
    <t>Up to 1007 EA bipolar cases</t>
  </si>
  <si>
    <t>Up to 1010 EA individuals</t>
  </si>
  <si>
    <t>Up to 1222 EA individuals</t>
  </si>
  <si>
    <t>Up to 123865 EA individuals</t>
  </si>
  <si>
    <t>Up to 125931 EA individuals</t>
  </si>
  <si>
    <t>Up to 1327 EA individuals</t>
  </si>
  <si>
    <t>Up to 1345 EA individuals</t>
  </si>
  <si>
    <t>Up to 1375 EA individuals</t>
  </si>
  <si>
    <t>Up to 22562 EA individuals</t>
  </si>
  <si>
    <t>Up to 2540 EA individuals</t>
  </si>
  <si>
    <t>Up to 23608 EA individuals</t>
  </si>
  <si>
    <t>Up to 7604 EA individuals</t>
  </si>
  <si>
    <t>Up to 2491 EA Dutch samples</t>
  </si>
  <si>
    <t>Up to 3445 EA cases, 6935 EA controls</t>
  </si>
  <si>
    <t>Up to 3991 EA individuals</t>
  </si>
  <si>
    <t>Up to 31211 EA individuals</t>
  </si>
  <si>
    <t>11273 EA individuals</t>
  </si>
  <si>
    <t>Up to 3367 EA samples</t>
  </si>
  <si>
    <t>up to 76558 EA individuals</t>
  </si>
  <si>
    <t>Up to 52350 EA individuals, up to 8739 Indian Asian individuals</t>
  </si>
  <si>
    <t>Up to 67093 EA individuals</t>
  </si>
  <si>
    <t>Up to 22982 EA individuals</t>
  </si>
  <si>
    <t>Up to 74035 EA individuals</t>
  </si>
  <si>
    <t>Up to 984 EA individuals</t>
  </si>
  <si>
    <t>1004 AA cases, 2745 AA controls,1718 EA cases, 3670 EA controls</t>
  </si>
  <si>
    <t>114223 samples: 90446 EA, 11357 AA, 4540 Hispanic, 984 East Asian, 6003 South Asian, 499 Native American</t>
  </si>
  <si>
    <t>1168 AA individuals, 321 AA samples, 252 Native Hawaiian samples, 202 Japanese ancestry samples, 332 Hispanic samples, 367 EA samples</t>
  </si>
  <si>
    <t>1636 EA samples, 264 Hispanic samples, 334 AA samples</t>
  </si>
  <si>
    <t>171 LCL cell lines (58 EA, 53 AA, 60 Chinese ancestry)</t>
  </si>
  <si>
    <t>19468 EA samples, 6287 AA samples</t>
  </si>
  <si>
    <t>2526 EA individuals, 466 AA individuals</t>
  </si>
  <si>
    <t>20 AA cases, 36 EA cases, 32 Hispanic cases, 16 Asian ancestry cases</t>
  </si>
  <si>
    <t>252 AA cases + 361 controls, 152 EA cases + 161 controls, 74 Hispanic cases</t>
  </si>
  <si>
    <t>20926 EA participants, 2895 AA participants</t>
  </si>
  <si>
    <t>2260 EA cases + 16264 controls, 263 AA cases + 3399 controls</t>
  </si>
  <si>
    <t>232 EA women, 200 AA women</t>
  </si>
  <si>
    <t>233 AA cases and 185 controls</t>
  </si>
  <si>
    <t>2510 EA cases + 2967 controls, 683 AA cases + 783 controls, 843 Asian ancestry cases + 777 controls</t>
  </si>
  <si>
    <t>23439 EA, 7112 AA</t>
  </si>
  <si>
    <t>23634 EA samples, 6657 AA samples</t>
  </si>
  <si>
    <t>2413 EA cases + 2392 controls, 810 AA cases + 873 controls</t>
  </si>
  <si>
    <t>2524 EA samples, 1103 AA samples</t>
  </si>
  <si>
    <t>1858 mixed (European and AA, proportions not specified)</t>
  </si>
  <si>
    <t>440 AA individuals</t>
  </si>
  <si>
    <t>466 EA cases + 523 controls, 377 AA cases + 357 controls, 46 (unspecified) cases + 47 controls</t>
  </si>
  <si>
    <t>608 LCL from HapMap: 174 EA, 90 Japanese, 85 Chinese, 259 AA</t>
  </si>
  <si>
    <t>626 AA samples</t>
  </si>
  <si>
    <t>6303 AA</t>
  </si>
  <si>
    <t>11886 AA</t>
  </si>
  <si>
    <t>77 AA (YRI) from HapMap</t>
  </si>
  <si>
    <t>Up to 20809 African American ancestry and AA individuals</t>
  </si>
  <si>
    <t>86 EA (CEU) + 89 AA (YRI) LCL from HapMap</t>
  </si>
  <si>
    <t>87 EA (CEU) + 89 AA (YRI) LCL from HapMap</t>
  </si>
  <si>
    <t>89 AA (YRI) LCL from HapMap</t>
  </si>
  <si>
    <t>979 EA liver samples, 59 AA liver samples, 49 Hispanic ancestry liver samples</t>
  </si>
  <si>
    <t>Up to 6209 AA samples</t>
  </si>
  <si>
    <t>Up to 8110 AA samples</t>
  </si>
  <si>
    <t>Up to 4358 AA samples</t>
  </si>
  <si>
    <t>90 unspecified lymphoblastoid cell lines (CEPH) samples</t>
  </si>
  <si>
    <t>200 German samples</t>
  </si>
  <si>
    <t>400 German samples, 7817 (mostly) EA samples</t>
  </si>
  <si>
    <t>Up to 6616 EA individuals</t>
  </si>
  <si>
    <t>3232 EA cases, 7064 EA controls</t>
  </si>
  <si>
    <t>2539 EA cases, 5428 EA controls</t>
  </si>
  <si>
    <t>10623 EA individuals</t>
  </si>
  <si>
    <t>27591 EA individuals</t>
  </si>
  <si>
    <t>1081 EA individuals</t>
  </si>
  <si>
    <t>10995 EA smokers</t>
  </si>
  <si>
    <t>4848 EA smokers</t>
  </si>
  <si>
    <t>11536 EA samples (from families)</t>
  </si>
  <si>
    <t>Up to 110 Turkish cases, 225 Turkish controls, 189 Middle Eastern Arab cases, 163 Middle Eastern Arab controls, 107 Greek cases, 84 Greek controls, 120 UK EA cases, 119 UK EA controls, 77 Korean cases, 54 Korean controls, 611 Japanese cases, 737 Japanese controls</t>
  </si>
  <si>
    <t>2175 EA cases, 2064 EA controls</t>
  </si>
  <si>
    <t>130 EA cases, 260 EA controls</t>
  </si>
  <si>
    <t>150 EA cases, 150 EA controls</t>
  </si>
  <si>
    <t>1335 EA cases, 12844 EA controls</t>
  </si>
  <si>
    <t>1164 EA cases, 3607 EA controls</t>
  </si>
  <si>
    <t>14846 EA individuals</t>
  </si>
  <si>
    <t>1495 EA individuals</t>
  </si>
  <si>
    <t>2917 EA individuals</t>
  </si>
  <si>
    <t>1524 EA sisters</t>
  </si>
  <si>
    <t>15366 EA individuals</t>
  </si>
  <si>
    <t>8463 EA individuals</t>
  </si>
  <si>
    <t>16125 EA individuals</t>
  </si>
  <si>
    <t>17871 EA individuals</t>
  </si>
  <si>
    <t>1649 Australian siblings, 3196 Australian twins, 16140 EA individuals</t>
  </si>
  <si>
    <t>181 EA adolescent cases, 1974 EA adolescent controls</t>
  </si>
  <si>
    <t>170 EA cases, 1130 EA controls</t>
  </si>
  <si>
    <t>185 EA cases, 732 EA controls</t>
  </si>
  <si>
    <t>191 EA individuals</t>
  </si>
  <si>
    <t>1919 EA individuals</t>
  </si>
  <si>
    <t>237 Korean cases, 1000 Korean controls, 232 EA cases, 576 EA controls</t>
  </si>
  <si>
    <t>2053 EA cases, 5140 EA controls</t>
  </si>
  <si>
    <t>2078 EA cases, 2953 EA controls</t>
  </si>
  <si>
    <t>19350 EA cases, 35408 EA controls</t>
  </si>
  <si>
    <t>22096 EA individuals</t>
  </si>
  <si>
    <t>2323 EA cases, 9013 EA controls</t>
  </si>
  <si>
    <t>2532 EA cases, 5940 EA controls</t>
  </si>
  <si>
    <t>23812 EA individuals</t>
  </si>
  <si>
    <t>2194 Asian samples (from families), 322 South Asian samples (from families), 3830 EA samples (from families), 1769 South/Central American samples (from families)</t>
  </si>
  <si>
    <t>2693 EA cases, 6791 EA controls</t>
  </si>
  <si>
    <t>2009 EA cases, 1580 EA controls</t>
  </si>
  <si>
    <t>28517 EA individuals</t>
  </si>
  <si>
    <t>2906 EA cases, 3416 EA controls</t>
  </si>
  <si>
    <t>8161 EA cases, 9101 EA controls</t>
  </si>
  <si>
    <t>29069 EA individuals, 7557 Indian Asian descent individuals</t>
  </si>
  <si>
    <t>39576 EA individuals</t>
  </si>
  <si>
    <t>54731 EA individuals</t>
  </si>
  <si>
    <t>317 EA cases, 17958 EA controls</t>
  </si>
  <si>
    <t>3177 EA cases, 4894 EA controls</t>
  </si>
  <si>
    <t>10525 EA cases, 48392 EA controls</t>
  </si>
  <si>
    <t>587 EA individuals</t>
  </si>
  <si>
    <t>3322 EA cases, 3587 EA controls</t>
  </si>
  <si>
    <t>4692 EA cases, 15493 EA controls</t>
  </si>
  <si>
    <t>3527 EA individuals</t>
  </si>
  <si>
    <t>1727 EA individuals</t>
  </si>
  <si>
    <t>353 EA cases, 366 EA controls</t>
  </si>
  <si>
    <t>3532 EA cases, 5120 EA controls</t>
  </si>
  <si>
    <t>1749 Costa Rican samples (from trios), 1181 EA cases, 7369 EA controls</t>
  </si>
  <si>
    <t>3772 EA cases, 8505 EA controls</t>
  </si>
  <si>
    <t>41150 EA individuals</t>
  </si>
  <si>
    <t>120516 EA individuals</t>
  </si>
  <si>
    <t>436 EA cases, 494 EA controls</t>
  </si>
  <si>
    <t>4533 EA cases, 10750 EA controls</t>
  </si>
  <si>
    <t>4918 EA cases, 5684 EA controls</t>
  </si>
  <si>
    <t>13795 EA individuals</t>
  </si>
  <si>
    <t>4877 EA women</t>
  </si>
  <si>
    <t>515 EA cases, 2509 EA controls</t>
  </si>
  <si>
    <t>89 EA cases, 553 EA controls</t>
  </si>
  <si>
    <t>5328 EA individuals</t>
  </si>
  <si>
    <t>56 African American cases, 61 EA cases</t>
  </si>
  <si>
    <t>Up to 1761 EA cases, 3727 EA controls</t>
  </si>
  <si>
    <t>5739 EA cases, 5848 EA controls</t>
  </si>
  <si>
    <t>7561 EA cases, 13818 EA controls</t>
  </si>
  <si>
    <t>5752 EA related individuals</t>
  </si>
  <si>
    <t>590 EA cases, 3956 EA controls</t>
  </si>
  <si>
    <t>892 EA cases, 4582 EA controls</t>
  </si>
  <si>
    <t>6078 EA individuals</t>
  </si>
  <si>
    <t>6333 EA cases, 15056 EA controls</t>
  </si>
  <si>
    <t>15694 EA cases, 14026 EA controls, 1242 EA (from trios)</t>
  </si>
  <si>
    <t>681 EA cases, 750 EA controls</t>
  </si>
  <si>
    <t>up to 3164 EA cases, 6208 EA controls</t>
  </si>
  <si>
    <t>7759 EA cases, 34062 EA controls</t>
  </si>
  <si>
    <t>1474 EA cases, 1671 EA controls</t>
  </si>
  <si>
    <t>811 anti-dsDNA positive EA cases, 906 anti-dsDNA negative EA cases, 4813 EA controls</t>
  </si>
  <si>
    <t>8130 EA cases, 38987 EA controls</t>
  </si>
  <si>
    <t>Up to 34412 EA cases, 59925 EA controls</t>
  </si>
  <si>
    <t>847 EA cases, 552 EA controls, 345 African American cases, 140 African American controls</t>
  </si>
  <si>
    <t>6202 EA individuals</t>
  </si>
  <si>
    <t>9361 EA individuals</t>
  </si>
  <si>
    <t>3024 EA individuals</t>
  </si>
  <si>
    <t>9772 EA cases, 17376 controls</t>
  </si>
  <si>
    <t>986 EA cases, 1846 EA controls</t>
  </si>
  <si>
    <t>391 EA cases, 213 EA controls</t>
  </si>
  <si>
    <t>Up to 100184 EA individuals</t>
  </si>
  <si>
    <t>Up to 11806 EA cases, 12387 EA controls</t>
  </si>
  <si>
    <t>Up to 46186 EA individuals</t>
  </si>
  <si>
    <t>Up to 77167 EA individuals</t>
  </si>
  <si>
    <t>Up to 113636 EA individuals</t>
  </si>
  <si>
    <t>Up to 9813 EA individuals</t>
  </si>
  <si>
    <t>994 EA cases, 1243 EA controls; 2331 AA cases, 2874 AA controls (including families)</t>
  </si>
  <si>
    <t>10870 EA cases, 73735 EA controls</t>
  </si>
  <si>
    <t>399 EA cases, 1318 EA controls</t>
  </si>
  <si>
    <t>739 EA triads</t>
  </si>
  <si>
    <t>1174 Northern EA cases, 357 Northern EA controls</t>
  </si>
  <si>
    <t>1241 EA cases, 622 EA controls, 655 Northern EA cases, 1244 Northern EA controls</t>
  </si>
  <si>
    <t>1387 EA cases + 1115 controls</t>
  </si>
  <si>
    <t>549 EA cases, 150 cases, 2792 EA controls</t>
  </si>
  <si>
    <t>1087 EA samples (from families), 300 Pima Indian cases, 334 Pima Indian controls, 140 Pima Indian related cases, 121 Pima Indian related controls, 124 Amish cases, 295 Amish controls</t>
  </si>
  <si>
    <t>533 EA controls</t>
  </si>
  <si>
    <t>508 EA controls</t>
  </si>
  <si>
    <t>502 EA samples</t>
  </si>
  <si>
    <t>374 EA</t>
  </si>
  <si>
    <t>236 EA women</t>
  </si>
  <si>
    <t>502 EA cases, 504 EA controls, 1100 probands, 2698 relatives</t>
  </si>
  <si>
    <t>520 EA cases, 540 EA controls</t>
  </si>
  <si>
    <t>1196 EA individuals</t>
  </si>
  <si>
    <t>1458 EA cases + 931 controls</t>
  </si>
  <si>
    <t>1014 EA cases + 1917 controls (pooled)</t>
  </si>
  <si>
    <t>277 EA cases + 919 controls</t>
  </si>
  <si>
    <t>371 EA cases, 204 EA parents, 860 EA controls</t>
  </si>
  <si>
    <t>89 EA cases + 520 EA controls</t>
  </si>
  <si>
    <t>1082 EA cases + 1239 controls</t>
  </si>
  <si>
    <t>11847 EA samples</t>
  </si>
  <si>
    <t>11024 EA samples, 3843 AA samples</t>
  </si>
  <si>
    <t>17686 EA women</t>
  </si>
  <si>
    <t>179 EA British samples</t>
  </si>
  <si>
    <t>90 EA British samples</t>
  </si>
  <si>
    <t>181 EA individuals</t>
  </si>
  <si>
    <t>374 EA individuals</t>
  </si>
  <si>
    <t>1854 EA cases + 1894 controls</t>
  </si>
  <si>
    <t>3268 EA cases + 3366 controls</t>
  </si>
  <si>
    <t>1926 EA cases + 2938 controls</t>
  </si>
  <si>
    <t>875 EA cases + 1644 controls</t>
  </si>
  <si>
    <t>1934 EA adolescent males</t>
  </si>
  <si>
    <t>Up to 2789 EA adolescent males, 1052 Swedish elderly men</t>
  </si>
  <si>
    <t>194 AA samples, 195 EA samples</t>
  </si>
  <si>
    <t>1955 EA hypertensive individuals</t>
  </si>
  <si>
    <t>2033 EA individuals (from families); 1461 EA samples (from twins)</t>
  </si>
  <si>
    <t>1464 EA cases + 1467 controls</t>
  </si>
  <si>
    <t>2647 EA samples</t>
  </si>
  <si>
    <t>2050 EA, 3448 EA</t>
  </si>
  <si>
    <t>Cross-sample validation</t>
  </si>
  <si>
    <t>28283 EA individuals</t>
  </si>
  <si>
    <t>2940 EA cases + 1380 controls</t>
  </si>
  <si>
    <t>327 EA individuals</t>
  </si>
  <si>
    <t>1593 EA samples, 597 AA samples, 2876 British women</t>
  </si>
  <si>
    <t>359 EA cases + 846 controls</t>
  </si>
  <si>
    <t>374 EA subjects</t>
  </si>
  <si>
    <t>140 EA, 83 African American, and 4 unspecified individuals</t>
  </si>
  <si>
    <t>556 EA cases + 2338 controls</t>
  </si>
  <si>
    <t>12 EA cases + 55 control children</t>
  </si>
  <si>
    <t>607 EA cases + 3294 controls</t>
  </si>
  <si>
    <t>7751 EA individuals</t>
  </si>
  <si>
    <t>3699 Indian Asian samples, 1005 EA samples</t>
  </si>
  <si>
    <t>857 EA cases (from families), 440 EA cases</t>
  </si>
  <si>
    <t>6505 EA cases + 13532 controls</t>
  </si>
  <si>
    <t>973 EA incident cases, 2033 EA cases, 14642 EA controls</t>
  </si>
  <si>
    <t>90 EA cases, 90 controls</t>
  </si>
  <si>
    <t>30 EA cases + 1652 controls</t>
  </si>
  <si>
    <t>921 EA cases + 929 controls</t>
  </si>
  <si>
    <t>1214 EA cases + 1435 controls</t>
  </si>
  <si>
    <t>9401 EA individuals</t>
  </si>
  <si>
    <t>1822 EA individuals, 644 AA individuals</t>
  </si>
  <si>
    <t>Up to 17243 EA individuals</t>
  </si>
  <si>
    <t>Up to 37774 EA individuals, up to 9665 Indian Asian individuals</t>
  </si>
  <si>
    <t>1000 EA individuals</t>
  </si>
  <si>
    <t>4925 EA individuals, 350 Chinese hip fracture cases, 350 Chinese controls, 2955 Chinese individuals, 908 West African men</t>
  </si>
  <si>
    <t>117 CJD EA British cases + 3083 controls</t>
  </si>
  <si>
    <t>506 sCJD EA British cases, 28 iCJD cases, 151 Kuru cases, 125 Kuru-resistant cases, up to 1137 controls</t>
  </si>
  <si>
    <t>1193 EA cases + 1190 controls</t>
  </si>
  <si>
    <t>3012 EA cases + 2974 controls</t>
  </si>
  <si>
    <t>1880 EA German individuals</t>
  </si>
  <si>
    <t>989 African Americans, 1316 EA</t>
  </si>
  <si>
    <t>1304 EA diabetics</t>
  </si>
  <si>
    <t>1359 EA cases + 1400 controls</t>
  </si>
  <si>
    <t>5048 EA cases + 5041 controls</t>
  </si>
  <si>
    <t>13974 EA females</t>
  </si>
  <si>
    <t>1493 EA cases + 1831 controls</t>
  </si>
  <si>
    <t>1053 Swedish (mostly EA) cases,1858 controls</t>
  </si>
  <si>
    <t>192 EA HIV-infected men</t>
  </si>
  <si>
    <t>25 AA subjects</t>
  </si>
  <si>
    <t>785 Southern Chinese extreme BMD females</t>
  </si>
  <si>
    <t>720 Southern Chinese individuals, 13913 EA samples, 3465 Chinese samples</t>
  </si>
  <si>
    <t>Illumina [3154485] (imputed)</t>
  </si>
  <si>
    <t>Illumina [464934]</t>
  </si>
  <si>
    <t>Illumina [455121]</t>
  </si>
  <si>
    <t>Illumina [306207]</t>
  </si>
  <si>
    <t>Illumina [257013]</t>
  </si>
  <si>
    <t>Illumina [49320]</t>
  </si>
  <si>
    <t>Illumina [1723056]</t>
  </si>
  <si>
    <t>Illumina [499948]</t>
  </si>
  <si>
    <t>Illumina [317498]</t>
  </si>
  <si>
    <t>Illumina [315635]</t>
  </si>
  <si>
    <t>Illumina [500000]</t>
  </si>
  <si>
    <t>Illumina [538548]</t>
  </si>
  <si>
    <t>Illumina [527869]</t>
  </si>
  <si>
    <t>Illumina [496032]</t>
  </si>
  <si>
    <t>Illumina [139553]</t>
  </si>
  <si>
    <t>Illumina [460528]</t>
  </si>
  <si>
    <t>Illumina [&gt;1.8 million] (imputed)</t>
  </si>
  <si>
    <t>Illumina [550000]</t>
  </si>
  <si>
    <t>Illumina [502033]</t>
  </si>
  <si>
    <t>Illumina [463044]</t>
  </si>
  <si>
    <t>Illumina [543071]</t>
  </si>
  <si>
    <t>Illumina [1629853] (imputed)</t>
  </si>
  <si>
    <t>Illumina [444882]</t>
  </si>
  <si>
    <t>Illumina [316515]</t>
  </si>
  <si>
    <t>Illumina [289044]</t>
  </si>
  <si>
    <t>Illumina [299352]</t>
  </si>
  <si>
    <t>Illumina [317000]</t>
  </si>
  <si>
    <t>Illumina [865544]</t>
  </si>
  <si>
    <t>Illumina [576901]</t>
  </si>
  <si>
    <t>Illumina [289271]</t>
  </si>
  <si>
    <t>Illumina [214508]</t>
  </si>
  <si>
    <t>Illumina [311524]</t>
  </si>
  <si>
    <t>Illumina [305953]</t>
  </si>
  <si>
    <t>Illumina [479811]</t>
  </si>
  <si>
    <t>Illumina [528134]</t>
  </si>
  <si>
    <t>Illumina [310881]</t>
  </si>
  <si>
    <t>Illumina [422839]</t>
  </si>
  <si>
    <t>Illumina [309241]</t>
  </si>
  <si>
    <t>Illumina [515039]</t>
  </si>
  <si>
    <t>Illumina [335603]</t>
  </si>
  <si>
    <t>Illumina [370404]</t>
  </si>
  <si>
    <t>Illumina [479314]</t>
  </si>
  <si>
    <t>Illumina [302140]</t>
  </si>
  <si>
    <t>Illumina [538629]</t>
  </si>
  <si>
    <t>Illumina [1356350] (imputed)</t>
  </si>
  <si>
    <t>Illumina [283637]</t>
  </si>
  <si>
    <t>Illumina [882564]</t>
  </si>
  <si>
    <t>Illumina [535296]</t>
  </si>
  <si>
    <t>Illumina [up to 548586]</t>
  </si>
  <si>
    <t>Illumina [310023]</t>
  </si>
  <si>
    <t>Illumina [516972]</t>
  </si>
  <si>
    <t>Illumina [223891]</t>
  </si>
  <si>
    <t>Illumina [1940243] (imputed)</t>
  </si>
  <si>
    <t>Illumina [479403]</t>
  </si>
  <si>
    <t>Illumina [510689]</t>
  </si>
  <si>
    <t>Illumina [481342]</t>
  </si>
  <si>
    <t>Illumina [33577]</t>
  </si>
  <si>
    <t>Illumina [49094]</t>
  </si>
  <si>
    <t>Illumina [297979]</t>
  </si>
  <si>
    <t>Illumina [305983]</t>
  </si>
  <si>
    <t>Illumina [497917]</t>
  </si>
  <si>
    <t>Illumina [~290000]</t>
  </si>
  <si>
    <t>Illumina [~790000]</t>
  </si>
  <si>
    <t>Illumina [47539]</t>
  </si>
  <si>
    <t>Illumina [470796]</t>
  </si>
  <si>
    <t>Illumina [38069]</t>
  </si>
  <si>
    <t>Illumina [830696]</t>
  </si>
  <si>
    <t>Illumina [408803]</t>
  </si>
  <si>
    <t>Illumina [308067]</t>
  </si>
  <si>
    <t>Illumina [330690]</t>
  </si>
  <si>
    <t>Illumina [531695]</t>
  </si>
  <si>
    <t>Illumina [315194]</t>
  </si>
  <si>
    <t>Illumina [317511]</t>
  </si>
  <si>
    <t>Illumina [296308]</t>
  </si>
  <si>
    <t>Illumina [541628]</t>
  </si>
  <si>
    <t>Illumina [306937]</t>
  </si>
  <si>
    <t>Illumina [298783]</t>
  </si>
  <si>
    <t>Illumina [34399]</t>
  </si>
  <si>
    <t>Illumina [554484]</t>
  </si>
  <si>
    <t>Illumina [~408000] (pooled)</t>
  </si>
  <si>
    <t>Illumina [29599]</t>
  </si>
  <si>
    <t>Illumina [348622]</t>
  </si>
  <si>
    <t>Illumina [797983]</t>
  </si>
  <si>
    <t>Illumina [413461]</t>
  </si>
  <si>
    <t>Illumina [522204]</t>
  </si>
  <si>
    <t>Illumina [408273]</t>
  </si>
  <si>
    <t>Illumina [121715]</t>
  </si>
  <si>
    <t>Illumina [206856]</t>
  </si>
  <si>
    <t>Illumina [705591]</t>
  </si>
  <si>
    <t>Illumina [371335]</t>
  </si>
  <si>
    <t>Illumina [299918]</t>
  </si>
  <si>
    <t>Illumina [494236]</t>
  </si>
  <si>
    <t>Illumina [329097]</t>
  </si>
  <si>
    <t>Illumina [336108]</t>
  </si>
  <si>
    <t>Illumina [778974]</t>
  </si>
  <si>
    <t>Illumina [876476]</t>
  </si>
  <si>
    <t>Illumina [320000]</t>
  </si>
  <si>
    <t>Illumina [535101]</t>
  </si>
  <si>
    <t>Illumina [533416]</t>
  </si>
  <si>
    <t>Illumina [487484]</t>
  </si>
  <si>
    <t>Illumina [990115]</t>
  </si>
  <si>
    <t>Illumina [461024]</t>
  </si>
  <si>
    <t>Illumina [345665]</t>
  </si>
  <si>
    <t>Illumina [48302]</t>
  </si>
  <si>
    <t>Illumina [48032]</t>
  </si>
  <si>
    <t>Illumina [2505093] (imputed)</t>
  </si>
  <si>
    <t>Illumina [2061516] (imputed)</t>
  </si>
  <si>
    <t>Illumina [589274]</t>
  </si>
  <si>
    <t>Illumina [1160703] (imputed)</t>
  </si>
  <si>
    <t>Illumina [308332]</t>
  </si>
  <si>
    <t>Illumina [302451]</t>
  </si>
  <si>
    <t>Affymetrix &amp; Illumina [2529394]</t>
  </si>
  <si>
    <t>Affymetrix &amp; Illumina [748555]</t>
  </si>
  <si>
    <t xml:space="preserve">Illumina [530011] </t>
  </si>
  <si>
    <t>Illumina [up to 1000000]</t>
  </si>
  <si>
    <t>Illumina [470902]</t>
  </si>
  <si>
    <t>Illumina [560387]</t>
  </si>
  <si>
    <t>Illumina [301019]</t>
  </si>
  <si>
    <t>Illumina [530011]</t>
  </si>
  <si>
    <t>Illumina [555175]</t>
  </si>
  <si>
    <t>Illumina [532566]</t>
  </si>
  <si>
    <t>Illumina [555352]</t>
  </si>
  <si>
    <t>Illumina [15957390]</t>
  </si>
  <si>
    <t>Illumina [524684]</t>
  </si>
  <si>
    <t>Illumina [528127]</t>
  </si>
  <si>
    <t>Illumina [895714]</t>
  </si>
  <si>
    <t>Illumina [538563]</t>
  </si>
  <si>
    <t>Illumina [302765]</t>
  </si>
  <si>
    <t>Illumina [502702]</t>
  </si>
  <si>
    <t>Illumina [487932] (pooled)</t>
  </si>
  <si>
    <t>Illumina [311946]</t>
  </si>
  <si>
    <t>Illumina [546314]</t>
  </si>
  <si>
    <t>Illumina [493203]</t>
  </si>
  <si>
    <t>Illumina [650000]</t>
  </si>
  <si>
    <t>Illumina [310605]</t>
  </si>
  <si>
    <t>Illumina [551642]</t>
  </si>
  <si>
    <t>Illumina [308140]</t>
  </si>
  <si>
    <t>Illumina [451382]</t>
  </si>
  <si>
    <t>Illumina [498000]</t>
  </si>
  <si>
    <t>Illumina [36087]</t>
  </si>
  <si>
    <t>Illumina [316184]</t>
  </si>
  <si>
    <t>Illumina [394561]</t>
  </si>
  <si>
    <t>Illumina [328189]</t>
  </si>
  <si>
    <t>Illumina [283348]</t>
  </si>
  <si>
    <t>Illumina [533191]</t>
  </si>
  <si>
    <t>Illumina [547647]</t>
  </si>
  <si>
    <t>Illumina [304413]</t>
  </si>
  <si>
    <t>Illumina [485072]</t>
  </si>
  <si>
    <t>Illumina [383547]</t>
  </si>
  <si>
    <t>Illumina [287522]</t>
  </si>
  <si>
    <t>Illumina [574000]</t>
  </si>
  <si>
    <t>Illumina [62935]</t>
  </si>
  <si>
    <t>Illumina [483075]</t>
  </si>
  <si>
    <t>Affymetrix [183605]</t>
  </si>
  <si>
    <t>Affymetrix [77666]</t>
  </si>
  <si>
    <t>Affymetrix [728331]</t>
  </si>
  <si>
    <t>Affymetrix [70897]</t>
  </si>
  <si>
    <t>Affymetrix [555896]</t>
  </si>
  <si>
    <t>Affymetrix [421789]</t>
  </si>
  <si>
    <t>Affymetrix [452574] (pooled)</t>
  </si>
  <si>
    <t>Affymetrix [319722]</t>
  </si>
  <si>
    <t>Affymetrix [115352]</t>
  </si>
  <si>
    <t>Affymetrix [334563]</t>
  </si>
  <si>
    <t>Affymetrix [582514]</t>
  </si>
  <si>
    <t>Affymetrix [169154]</t>
  </si>
  <si>
    <t>Affymetrix [355262]</t>
  </si>
  <si>
    <t>Affymetrix [82485]</t>
  </si>
  <si>
    <t>Affymetrix [238389]</t>
  </si>
  <si>
    <t>Affymetrix [402951]</t>
  </si>
  <si>
    <t>Affymetrix [1221921]</t>
  </si>
  <si>
    <t>Affymetrix [675350]</t>
  </si>
  <si>
    <t>Affymetrix [353569]</t>
  </si>
  <si>
    <t>Affymetrix [345926]</t>
  </si>
  <si>
    <t>Affymetrix [344883]</t>
  </si>
  <si>
    <t>Affymetrix [906000]</t>
  </si>
  <si>
    <t>Affymetrix [258891]</t>
  </si>
  <si>
    <t>Affymetrix [439511]</t>
  </si>
  <si>
    <t>Affymetrix [380157]</t>
  </si>
  <si>
    <t>Affymetrix [550291]</t>
  </si>
  <si>
    <t>Affymetrix [up to 102334]</t>
  </si>
  <si>
    <t>Affymetrix [up to 722376]</t>
  </si>
  <si>
    <t>Affymetrix [94609]</t>
  </si>
  <si>
    <t>Affymetrix [400496]</t>
  </si>
  <si>
    <t>Affymetrix [234830]</t>
  </si>
  <si>
    <t>Affymetrix [339972]</t>
  </si>
  <si>
    <t>Affymetrix [651262]</t>
  </si>
  <si>
    <t>Affymetrix [~60000] (pooled)</t>
  </si>
  <si>
    <t>Affymetrix [249133]</t>
  </si>
  <si>
    <t>Affymetrix [738185]</t>
  </si>
  <si>
    <t>Affymetrix [150080]</t>
  </si>
  <si>
    <t>Affymetrix [200220]</t>
  </si>
  <si>
    <t>Affymetrix [389878]</t>
  </si>
  <si>
    <t>Affymetrix [85042]</t>
  </si>
  <si>
    <t>Affymetrix [334923]</t>
  </si>
  <si>
    <t>Affymetrix [382492]</t>
  </si>
  <si>
    <t>Affymetrix [88142]</t>
  </si>
  <si>
    <t>Affymetrix [187454]</t>
  </si>
  <si>
    <t>Affymetrix [80044]</t>
  </si>
  <si>
    <t>Affymetrix [443816]</t>
  </si>
  <si>
    <t>Affymetrix [~116204] (pooled)</t>
  </si>
  <si>
    <t>Affymetrix [371258]</t>
  </si>
  <si>
    <t>Affymetrix [up to 335565]</t>
  </si>
  <si>
    <t>Affymetrix [314665]</t>
  </si>
  <si>
    <t>Affymetrix [500000]</t>
  </si>
  <si>
    <t>Affymetrix [546561]</t>
  </si>
  <si>
    <t>Affymetrix [92387]</t>
  </si>
  <si>
    <t>Affymetrix [79853]</t>
  </si>
  <si>
    <t>Affymetrix [236758]</t>
  </si>
  <si>
    <t>Affymetrix [355750]</t>
  </si>
  <si>
    <t>Affymetrix [639401]</t>
  </si>
  <si>
    <t>Affymetrix [313238]</t>
  </si>
  <si>
    <t>Affymetrix [1769948]imputed</t>
  </si>
  <si>
    <t>Affymetrix [312316]</t>
  </si>
  <si>
    <t>Affymetrix [~250000]</t>
  </si>
  <si>
    <t>Affymetrix [79622]</t>
  </si>
  <si>
    <t>Affymetrix [117062] (pooled)</t>
  </si>
  <si>
    <t>Affymetrix [320942]</t>
  </si>
  <si>
    <t>Affymetrix [362532]</t>
  </si>
  <si>
    <t>Affymetrix [440794]</t>
  </si>
  <si>
    <t>Affymetrix [600798]</t>
  </si>
  <si>
    <t>Affymetrix [683349] (pooled)</t>
  </si>
  <si>
    <t>Affymetrix [375771]</t>
  </si>
  <si>
    <t>Affymetrix [97552]</t>
  </si>
  <si>
    <t>Affymetrix [306823]</t>
  </si>
  <si>
    <t>Affymetrix [38000]</t>
  </si>
  <si>
    <t>Affymetrix [500568]</t>
  </si>
  <si>
    <t>Affymetrix [241701]</t>
  </si>
  <si>
    <t>Affymetrix [68523]</t>
  </si>
  <si>
    <t>Affymetrix [370102]</t>
  </si>
  <si>
    <t>Affymetrix [174950]</t>
  </si>
  <si>
    <t>Affymetrix [208733]</t>
  </si>
  <si>
    <t>Affymetrix [290325]</t>
  </si>
  <si>
    <t>Affymetrix [681050]</t>
  </si>
  <si>
    <t>Affymetrix [339272]</t>
  </si>
  <si>
    <t>Affymetrix [262264]</t>
  </si>
  <si>
    <t>Affymetrix [~502627]</t>
  </si>
  <si>
    <t>Affymetrix [86604]</t>
  </si>
  <si>
    <t>Affymetrix [511097]</t>
  </si>
  <si>
    <t>Affymetrix [460959]</t>
  </si>
  <si>
    <t>Affymetrix [672266] (pooled)</t>
  </si>
  <si>
    <t>Affymetrix [469438]</t>
  </si>
  <si>
    <t>Affymetrix [83360]</t>
  </si>
  <si>
    <t>Affymetrix [327872]</t>
  </si>
  <si>
    <t>Affymetrix [855034]</t>
  </si>
  <si>
    <t>Affymetrix [176561]</t>
  </si>
  <si>
    <t>Affymetrix [352228]</t>
  </si>
  <si>
    <t>Affymetrix [2245360]</t>
  </si>
  <si>
    <t>Affymetrix [484522]</t>
  </si>
  <si>
    <t>Affymetrix [545098]</t>
  </si>
  <si>
    <t>Affymetrix [103611]</t>
  </si>
  <si>
    <t>Affymetrix [656843]</t>
  </si>
  <si>
    <t>Affymetrix [97824]</t>
  </si>
  <si>
    <t>Affymetrix [587347]</t>
  </si>
  <si>
    <t>Affymetrix [871309]</t>
  </si>
  <si>
    <t>Affymetrix [556698]</t>
  </si>
  <si>
    <t>Perlegen [up to 216774]</t>
  </si>
  <si>
    <t>Perlegen [2.4 million] (pooled)</t>
  </si>
  <si>
    <t>Perlegen [451724]</t>
  </si>
  <si>
    <t>Perlegen [72864]</t>
  </si>
  <si>
    <t>Perlegen [205586]</t>
  </si>
  <si>
    <t>Perlegen [~266722]</t>
  </si>
  <si>
    <t>Perlegen [438784]</t>
  </si>
  <si>
    <t>Perlegen [378332]</t>
  </si>
  <si>
    <t>Affymetrix, Illumina, and Perlegen [~2.6 million] (imputed)</t>
  </si>
  <si>
    <t>Sequenom [25494]</t>
  </si>
  <si>
    <t>Invader [72738]</t>
  </si>
  <si>
    <t>Invader [79763]</t>
  </si>
  <si>
    <t>Invader [80795]</t>
  </si>
  <si>
    <t>Invader [65671]</t>
  </si>
  <si>
    <t>Invader [85576]</t>
  </si>
  <si>
    <t>Perlegen [268068]</t>
  </si>
  <si>
    <t>Perlegen [438670] (imputed, unspecified)</t>
  </si>
  <si>
    <t>Affymetrix [336121]</t>
  </si>
  <si>
    <t>Affymetrix [2402395] (imputed)</t>
  </si>
  <si>
    <t>Affymetrix [906600] (unspecified)</t>
  </si>
  <si>
    <t>Affymetrix &amp; Illumina [2533153] (imputed)</t>
  </si>
  <si>
    <t>Affymetrix &amp; Illumina [2543686] (imputed)</t>
  </si>
  <si>
    <t>Affymetrix &amp; Illumina [2626356] (imputed)</t>
  </si>
  <si>
    <t>Affymetrix [1026596] (imputed)</t>
  </si>
  <si>
    <t>Affymetrix [1573409] (imputed)</t>
  </si>
  <si>
    <t>Affymetrix [1827004] (imputed)</t>
  </si>
  <si>
    <t>Affymetrix [421010] (imputed)</t>
  </si>
  <si>
    <t>Affymetrix, Illumina &amp; Perlegen [up to 2850269] (imputed)</t>
  </si>
  <si>
    <t>Illumina [1421999] (imputed)</t>
  </si>
  <si>
    <t>Illumina [175000] (imputed)</t>
  </si>
  <si>
    <t>Illumina [235077] (imputed)</t>
  </si>
  <si>
    <t>Illumina [340105] (imputation)</t>
  </si>
  <si>
    <t>Affymetrix &amp; Illumina [~2.3 million] (imputed)</t>
  </si>
  <si>
    <t>Affymetrix [~100000] (pooled)</t>
  </si>
  <si>
    <t>Affymetrix [~502627] (pooled)</t>
  </si>
  <si>
    <t>Affymetrix [~520000] (pooled)</t>
  </si>
  <si>
    <t>Affymetrix [116204] (pooled)</t>
  </si>
  <si>
    <t>Affymetrix [178390] (pooled)</t>
  </si>
  <si>
    <t>Affymetrix [428867] (pooled)</t>
  </si>
  <si>
    <t>Affymetrix [449127] (pooled)</t>
  </si>
  <si>
    <t>Affymetrix [499969] (pooled)</t>
  </si>
  <si>
    <t>Affymetrix [500000] (pooled)</t>
  </si>
  <si>
    <t>Affymetrix [504219] (pooled)</t>
  </si>
  <si>
    <t>Affymetrix [up to 466883] (pooled)</t>
  </si>
  <si>
    <t>Illumina [~318000] (pooled)</t>
  </si>
  <si>
    <t>Illumina [517382] (pooled)</t>
  </si>
  <si>
    <t>Illumina [535150] (pooled)</t>
  </si>
  <si>
    <t>Illumina [555235] (pooled)</t>
  </si>
  <si>
    <t>Illumina [561494] (pooled)</t>
  </si>
  <si>
    <t>Illumina [918000] (pooled)</t>
  </si>
  <si>
    <t>Sequenom [25494] (pooled)</t>
  </si>
  <si>
    <t>Affymetrix [906600] (unspecified,pooling)</t>
  </si>
  <si>
    <t>Illumina [1134514] (unspecified)</t>
  </si>
  <si>
    <t>Illumina [300000] (unspecified)</t>
  </si>
  <si>
    <t>Illumina [620901] (unspecified)</t>
  </si>
  <si>
    <t>[HapMap] 4000000 (unspecified)</t>
  </si>
  <si>
    <t>Affymetrix [~2500000] (imputed,unspecified)</t>
  </si>
  <si>
    <t>Affymetrix [2325980] (imputed)</t>
  </si>
  <si>
    <t>Affymetrix &amp; Illumina [2436110] (imputed)</t>
  </si>
  <si>
    <t>Affymetrix [2801419] (imputed)</t>
  </si>
  <si>
    <t>Affymetrix [&gt;5.7 million] (imputed)</t>
  </si>
  <si>
    <t>Affymetrix [1227049] (imputed)</t>
  </si>
  <si>
    <t>Affymetrix [&gt;2.5 million] (imputed)</t>
  </si>
  <si>
    <t>Affymetrix [2421770] (imputed)</t>
  </si>
  <si>
    <t>Affymetrix &amp; Illumina [655658]</t>
  </si>
  <si>
    <t>Affymetrix [5396780] (imputed)</t>
  </si>
  <si>
    <t>Affymetrix [818899]</t>
  </si>
  <si>
    <t>Affymetrix, Illumina, and Perlegen [~2.6. million] (imputed)</t>
  </si>
  <si>
    <t>Affymetrix [287554]</t>
  </si>
  <si>
    <t>Illumina [50000]</t>
  </si>
  <si>
    <t>Affymetrix [37344]</t>
  </si>
  <si>
    <t>Affymetrix &amp; Illumina [~2.11 million] (imputed)</t>
  </si>
  <si>
    <t>Affymetrix &amp; Illumina [~2600000] (imputed)</t>
  </si>
  <si>
    <t>Affymetrix &amp; Illumina [203269]</t>
  </si>
  <si>
    <t>Affymetrix &amp; Illumina [2202892] (imputed)</t>
  </si>
  <si>
    <t>Affymetrix &amp; Illumina [2260683] (imputed)</t>
  </si>
  <si>
    <t>Affymetrix &amp; Illumina [2287520] (imputed)</t>
  </si>
  <si>
    <t>Affymetrix &amp; Illumina [2366197] (imputed)</t>
  </si>
  <si>
    <t>Affymetrix &amp; Illumina [2493963] (imputed)</t>
  </si>
  <si>
    <t>Affymetrix &amp; Illumina [2499255] (imputed)</t>
  </si>
  <si>
    <t>Affymetrix &amp; Illumina [2518578] (imputed)</t>
  </si>
  <si>
    <t>Affymetrix &amp; Illumina [2585854] (imputed)</t>
  </si>
  <si>
    <t>Affymetrix &amp; Illumina [465434]</t>
  </si>
  <si>
    <t>Affymetrix &amp; Illumina [635547] (imputed)</t>
  </si>
  <si>
    <t>Affymetrix &amp; Illumina [696707] (imputed)</t>
  </si>
  <si>
    <t>Affymetrix &amp; Illumina [776955]</t>
  </si>
  <si>
    <t>Affymetrix &amp; Illumina [up to ~500000] (pooled)</t>
  </si>
  <si>
    <t>Affymetrix &amp; Illumina [up to 2543686] (imputed)</t>
  </si>
  <si>
    <t>Affymetrix &amp; Illumina [up to 461986]</t>
  </si>
  <si>
    <t>Affymetrix &amp; Illumina [up to 496032]</t>
  </si>
  <si>
    <t>Affymetrix &amp; Illumina [up to 530683]</t>
  </si>
  <si>
    <t>Affymetrix &amp; Perlegen [~1.6 million] (imputed)</t>
  </si>
  <si>
    <t>Affymetrix &amp; Perlegen [2391203] (imputed)</t>
  </si>
  <si>
    <t>Affymetrix &amp; Illumina [~2500000] (imputed,unspecified)</t>
  </si>
  <si>
    <t>Affymetrix &amp; Illumina [2740000] (imputed)</t>
  </si>
  <si>
    <t>Affymetrix &amp; Illumina [380000] (pooled)</t>
  </si>
  <si>
    <t>Affymetrix &amp; Illumina [782476]</t>
  </si>
  <si>
    <t>Illumina [304250]</t>
  </si>
  <si>
    <t>Illumina [315917]</t>
  </si>
  <si>
    <t>Affymetrix &amp; Illumina [128655]</t>
  </si>
  <si>
    <t>Affymetrix &amp; Illumina [60275]</t>
  </si>
  <si>
    <t>Illumina [15957390] (imputed)</t>
  </si>
  <si>
    <t>Illumina [528184] (imputed)</t>
  </si>
  <si>
    <t>Illumina [234939]</t>
  </si>
  <si>
    <t>Illumina [2383268] (imputed)</t>
  </si>
  <si>
    <t>Illumina [2541644] (imputed)</t>
  </si>
  <si>
    <t>Illumina [286200]</t>
  </si>
  <si>
    <t>Illumina [313179]</t>
  </si>
  <si>
    <t>Illumina [314664]</t>
  </si>
  <si>
    <t>Illumina [35357]</t>
  </si>
  <si>
    <t>Illumina [489781]</t>
  </si>
  <si>
    <t>Illumina [506840]</t>
  </si>
  <si>
    <t>Illumina [&gt;2 million] (imputed)</t>
  </si>
  <si>
    <t>Illumina [4685506] (imputed)</t>
  </si>
  <si>
    <t>Illumina [549692]</t>
  </si>
  <si>
    <t>Illumina [561303] (imputed, unspecified)</t>
  </si>
  <si>
    <t>Illumina [568976]</t>
  </si>
  <si>
    <t>Illumina [2543888] (imputed)</t>
  </si>
  <si>
    <t>Affymetrix &amp; Illumina [818728] (imputed)</t>
  </si>
  <si>
    <t>Illumina [5480804] (imputed)</t>
  </si>
  <si>
    <t>Affymetrix &amp; Illumina [~2261000] (imputed)</t>
  </si>
  <si>
    <t>Affymetrix &amp; Illumina [2399588] (imputed)</t>
  </si>
  <si>
    <t>Affymetrix &amp; Illumina [2608509] (imputed)</t>
  </si>
  <si>
    <t>Affymetrix &amp; Illumina [494678] (imputed)</t>
  </si>
  <si>
    <t>Affymetrix &amp; Illumina [99632]</t>
  </si>
  <si>
    <t>Affymetrix &amp; Illumina [up to ~600000]</t>
  </si>
  <si>
    <t>Affymetrix &amp; Illumina [up to 304226]</t>
  </si>
  <si>
    <t>Affymetrix &amp; Illumina [~2200000] (imputed)</t>
  </si>
  <si>
    <t>Affymetrix &amp; Illumina [2500000] (imputed,unspecified)</t>
  </si>
  <si>
    <t>Affymetrix, Illumina &amp; Perlegen [2500000] (imputed,unspecified)</t>
  </si>
  <si>
    <t>Affymetrix &amp; Illumina [3310998] (imputed)</t>
  </si>
  <si>
    <t>Illumina [16000000] (imputed)</t>
  </si>
  <si>
    <t>2121 Icelandic cases + 39614 controls</t>
  </si>
  <si>
    <t>~58006 (presumed) EA individuals</t>
  </si>
  <si>
    <t>Sequenom [25133]</t>
  </si>
  <si>
    <t>Invader [49167]</t>
  </si>
  <si>
    <t>Invader [58266]</t>
  </si>
  <si>
    <t>Invader [88148]</t>
  </si>
  <si>
    <t>Illumina [562105]</t>
  </si>
  <si>
    <t>Up to 2494 (unspecified, presumed mostly EA) individuals with cystic fibrosis</t>
  </si>
  <si>
    <t>Up to 46368 EA individuals</t>
  </si>
  <si>
    <t>925 Japanese cases + 1487 controls, 590 British cases + 549 controls</t>
  </si>
  <si>
    <t>1450 EA samples, 6650 (unspecified) individuals</t>
  </si>
  <si>
    <t>1037 Hispanic cases + 1037 controls</t>
  </si>
  <si>
    <t>1286 European lung cancer, 679 head and neck cancer, 811 kidney cancer cases, and 2035 controls</t>
  </si>
  <si>
    <t>106 individuals mixed race/ethnicity</t>
  </si>
  <si>
    <t>104 mixed individuals</t>
  </si>
  <si>
    <t>1810 Australian adolescent twins</t>
  </si>
  <si>
    <t>2477 EA cases, at least 474 Asian samples, at least 1160 North American samples, at least 2206 European samples, at least 708 British samples, at least 2052 Finnish samples, at least 596 unspecified</t>
  </si>
  <si>
    <t>894 EA cases and 1516 controls</t>
  </si>
  <si>
    <t>3772 EA cases and 8505 controls</t>
  </si>
  <si>
    <t>36 Japanese treatment-resistant TD and 138 non-TD subjects</t>
  </si>
  <si>
    <t>3378 German samples, 659 Croatian samples, 1507 unspecified samples</t>
  </si>
  <si>
    <t>588 Swedish individuals</t>
  </si>
  <si>
    <t>681 German cases + 1824 controls, 3290 US cases + 2983 controls, 2044 Canadian cases + 2084 controls</t>
  </si>
  <si>
    <t>664 Japanese cases + 1473 controls, 3353 Japanese cases + 3807 controls</t>
  </si>
  <si>
    <t>6673 EA individuals</t>
  </si>
  <si>
    <t>68 AA severe patients, 95 AA mild patients</t>
  </si>
  <si>
    <t>6046 UK samples, 1141 Russian samples</t>
  </si>
  <si>
    <t>720 EA cases + 2128 controls</t>
  </si>
  <si>
    <t>1032 EA cases + 2043 controls</t>
  </si>
  <si>
    <t>73 US individuals</t>
  </si>
  <si>
    <t>1169 EA cases + 3714 controls</t>
  </si>
  <si>
    <t>159 Japanese cases + controls, 424 Korean samples, 785 EA samples, 184 AA samples</t>
  </si>
  <si>
    <t>94 Japanese cases + 658 controls</t>
  </si>
  <si>
    <t>796 Japanese cases + 711 controls</t>
  </si>
  <si>
    <t>9813 EA individuals</t>
  </si>
  <si>
    <t>983 unspecified probands, 1876 siblings</t>
  </si>
  <si>
    <t>Cross-validation of all populations</t>
  </si>
  <si>
    <t>Sample size not reported</t>
  </si>
  <si>
    <t>315 EA cases and 1014 controls</t>
  </si>
  <si>
    <t>369 European American smokers</t>
  </si>
  <si>
    <t>4387 (unspecified, presumed EA) cases, 6209 controls</t>
  </si>
  <si>
    <t>7732 EA participants</t>
  </si>
  <si>
    <t>431 British cases + 431 controls</t>
  </si>
  <si>
    <t>3568 EA cases + 6205 controls</t>
  </si>
  <si>
    <t>1610 EA cases + 463 controls</t>
  </si>
  <si>
    <t>283 African American, EA and Han Chinese lymphoblastoid cell lines</t>
  </si>
  <si>
    <t>1190 AD EA cases</t>
  </si>
  <si>
    <t>60 EA lymphoblastoid cell lines, 56 African- American lymphoblastoid cell lines, 60 Han Chinese-American lymphoblastoid cell lines</t>
  </si>
  <si>
    <t>1926 EA cases, 2938 controls</t>
  </si>
  <si>
    <t>7073 EA cases, 7325 controls</t>
  </si>
  <si>
    <t>1000 individuals EAs</t>
  </si>
  <si>
    <t>1488 individuals EAs, 1972 EAs (from families), 2955 Han Chinese individuals</t>
  </si>
  <si>
    <t>2142 cases,2117 controls EAs, Mexican Americans, and Pima Indians (and public data from Scandinavian cohort)</t>
  </si>
  <si>
    <t>2836 EA cases</t>
  </si>
  <si>
    <t>3916 EA cases</t>
  </si>
  <si>
    <t>133653 EA individuals</t>
  </si>
  <si>
    <t>50074 EA individuals</t>
  </si>
  <si>
    <t>1821 EA cases, 2258 controls</t>
  </si>
  <si>
    <t>1868 EA cases,2938 controls</t>
  </si>
  <si>
    <t>590 EA cases, 825 EA controls</t>
  </si>
  <si>
    <t>625 EA cases + 558 controls</t>
  </si>
  <si>
    <t>Human lymphoblastoid cell lines from 93 African Americans, 89 EA, and 95 Han Chinese Americans</t>
  </si>
  <si>
    <t>1235 Swedish cases + 1599 controls</t>
  </si>
  <si>
    <t>375 EA cases + 375 controls</t>
  </si>
  <si>
    <t>222 EA cases + 3324 controls</t>
  </si>
  <si>
    <t>304 EA cases + 518 controls, 186 EA samples (from families), 91 Hispanic samples (from families)</t>
  </si>
  <si>
    <t>122 EA cases, 129 EA controls</t>
  </si>
  <si>
    <t>104 EA cases, 104 EA controls</t>
  </si>
  <si>
    <t>1107 EA cases, 2747 EA controls</t>
  </si>
  <si>
    <t>896 EA cases, 3204 EA controls</t>
  </si>
  <si>
    <t>499 EA males, 501 EA females</t>
  </si>
  <si>
    <t>1370 EA males, 1985 EA females</t>
  </si>
  <si>
    <t>1382 EA diabetics, up to 37436 EA non-diabetics</t>
  </si>
  <si>
    <t>1481 EA individuals, 1287 EA samples (from trios), 156 AA samples (from trios), 138 Hispanic samples (from trios), 138 unspecified samples (from trios), 1185 Hispanic samples (from trios), 2370 Hispanic samples (from trios), 6475 EA controls</t>
  </si>
  <si>
    <t>987 EA individuals</t>
  </si>
  <si>
    <t>1488 EA individuals, 2118 Chinese individuals</t>
  </si>
  <si>
    <t>150 EA cases and 391 controls</t>
  </si>
  <si>
    <t>1001 EA cases, 345 African American cases, 1033 EA controls, 670 African American controls</t>
  </si>
  <si>
    <t>1749 EA samples (from families), 1263 EA cases, 431 EA controls</t>
  </si>
  <si>
    <t>107 Dutch EA cases, 134 controls</t>
  </si>
  <si>
    <t>424 EA cases, 226 EA controls</t>
  </si>
  <si>
    <t>600 high-performing EA children, 600 low-performing EA children</t>
  </si>
  <si>
    <t>2069 EA children</t>
  </si>
  <si>
    <t>1390 EA samples (from families)</t>
  </si>
  <si>
    <t>2390 EA samples (from families)</t>
  </si>
  <si>
    <t>407 EA cases, 296 EA controls</t>
  </si>
  <si>
    <t>252 EA cases, 965 EA controls</t>
  </si>
  <si>
    <t>801 EA centenarians, 926 EA controls</t>
  </si>
  <si>
    <t>254 EA centenarians, 341 EA controls</t>
  </si>
  <si>
    <t>983 EA individuals</t>
  </si>
  <si>
    <t>2557 EA individuals (from families)</t>
  </si>
  <si>
    <t>1836 long-lived EA individuals, 1955 EA controls</t>
  </si>
  <si>
    <t>2594 long-lived EA individuals, 3431 EA controls</t>
  </si>
  <si>
    <t>201 EA cases, 305 European controls</t>
  </si>
  <si>
    <t>929 Sorbian individuals, 2986 EA individuals</t>
  </si>
  <si>
    <t>1451 EA individuals</t>
  </si>
  <si>
    <t>287 EA individuals</t>
  </si>
  <si>
    <t>3558 EA individuals</t>
  </si>
  <si>
    <t>29527 EA individuals</t>
  </si>
  <si>
    <t>21 EA neonate cases, 75 EA neonate controls, 21 African neonate cases, 86 African neonate controls</t>
  </si>
  <si>
    <t>30 EA neonate cases, 112 EA neonate controls, 15 African neonate cases, 32 African neonate controls, 4 mixed EA/AA cases, 19 mixed EA/AA controls, 55 Finnish neonate cases, 158 Finnish neonate controls</t>
  </si>
  <si>
    <t>19602 EA individuals</t>
  </si>
  <si>
    <t>3004 African American individuals, 652 EA cases, 3613 EA controls</t>
  </si>
  <si>
    <t>1804 EA individuals</t>
  </si>
  <si>
    <t>3266 EA individuals</t>
  </si>
  <si>
    <t>3278 EAs and 3572 Chinese (pooled)</t>
  </si>
  <si>
    <t>1283 EA cases, 1416 EA controls</t>
  </si>
  <si>
    <t>807 EA cases, 1074 EA controls</t>
  </si>
  <si>
    <t>363 EA cases, 355 EA controls, 561 Asian cases, 605 Asian controls, 133 African American cases, 144 African American controls</t>
  </si>
  <si>
    <t>242 Spanish EA cases,242 controls</t>
  </si>
  <si>
    <t>356 EA chronic lymphocytic leukemia cases</t>
  </si>
  <si>
    <t>31373 EA individuals</t>
  </si>
  <si>
    <t>38641 EA individuals</t>
  </si>
  <si>
    <t>194 EA cases,219 controls</t>
  </si>
  <si>
    <t>3878 EA cases,4831 controls</t>
  </si>
  <si>
    <t>417 EA males, 423 EA females</t>
  </si>
  <si>
    <t>412 African American males, 839 African American females, 3491 EA males, 4132 EA females</t>
  </si>
  <si>
    <t>202 mostly EA participants</t>
  </si>
  <si>
    <t>42 mostly EA participants</t>
  </si>
  <si>
    <t>7360 EA individuals</t>
  </si>
  <si>
    <t>4455 EA individuals</t>
  </si>
  <si>
    <t>14618 EA women</t>
  </si>
  <si>
    <t>455 EA men and women</t>
  </si>
  <si>
    <t>4578 EA cases, 6150 EA controls, 931 EA/Ashkenazi cases, 1104 EA/Ashkenazi controls</t>
  </si>
  <si>
    <t>734 EA individuals</t>
  </si>
  <si>
    <t>464 EA individuals (from families)</t>
  </si>
  <si>
    <t>222 EA lethal cases, 415 EA long-term survivors</t>
  </si>
  <si>
    <t>500 EA lethal cases, 155 EA long-term survivors</t>
  </si>
  <si>
    <t>2272 EA individuals, 933 Norwegian individuals</t>
  </si>
  <si>
    <t>475 UK EA cases, 4703 UK controls</t>
  </si>
  <si>
    <t>2038 EA women, 1531 EA men</t>
  </si>
  <si>
    <t>5595 EA women, 2126 EA men</t>
  </si>
  <si>
    <t>969 EA cases, 957 EA controls</t>
  </si>
  <si>
    <t>5789 EA cases, 4234 EA controls</t>
  </si>
  <si>
    <t>99 EA cases, 235 EA controls</t>
  </si>
  <si>
    <t>60 EA cases, 90 EA controls</t>
  </si>
  <si>
    <t>15358 EA individuals</t>
  </si>
  <si>
    <t>101 EA cases, 101 EA controls</t>
  </si>
  <si>
    <t>704 EA siblings, 1467 African American siblings</t>
  </si>
  <si>
    <t>336 EA cases, 343 EA controls</t>
  </si>
  <si>
    <t>71 EA cases and 161 EA controls</t>
  </si>
  <si>
    <t>12611 EA individuals from UK and Netherlands</t>
  </si>
  <si>
    <t>566 EA individuals</t>
  </si>
  <si>
    <t>720 EA individuals</t>
  </si>
  <si>
    <t>1831 EA cases, 1764 EA controls</t>
  </si>
  <si>
    <t>751 EA cases, 751 EA controls</t>
  </si>
  <si>
    <t>18176 EA Northern EA individuals</t>
  </si>
  <si>
    <t>926 German cases, 866 German controls, 492 EA cases, 1052 EA controls</t>
  </si>
  <si>
    <t>9326 EA individuals</t>
  </si>
  <si>
    <t>6382 EA women</t>
  </si>
  <si>
    <t>1359 EA cases, 1782 controls</t>
  </si>
  <si>
    <t>153 HIV-1 Swiss EA infected individuals</t>
  </si>
  <si>
    <t>1659 EA individuals (from families), 2374 EA individuals</t>
  </si>
  <si>
    <t>17438 EA women</t>
  </si>
  <si>
    <t>175 EA Alzheimer patients, 354 EA amnestic mild cognitive impairment patients, 204 EA controls</t>
  </si>
  <si>
    <t>1752 EA cases, 1745 EA controls</t>
  </si>
  <si>
    <t>177 EA HIV-infected men</t>
  </si>
  <si>
    <t>178 EA cases,144 controls</t>
  </si>
  <si>
    <t>200 EA and 125 African American severe former addicts, 150 EAs and 100 African American controls</t>
  </si>
  <si>
    <t>2235 EAs</t>
  </si>
  <si>
    <t>2362 EA cases</t>
  </si>
  <si>
    <t>276 EA cases, 271 EA controls</t>
  </si>
  <si>
    <t>299 non-demented EA individuals (low and heavy NFT burden)</t>
  </si>
  <si>
    <t>3304 EA individuals</t>
  </si>
  <si>
    <t>3441 EA ever-smokers with COPD</t>
  </si>
  <si>
    <t>3928 EA individuals</t>
  </si>
  <si>
    <t>4387 EA bipolar cases, 6209 EA controls, 1695 Dutch MDD cases, 1761 Dutch controls</t>
  </si>
  <si>
    <t>52 oligozoospermic EA males, 40 non-obstructive azoospermic EA males, 80 EA male controls</t>
  </si>
  <si>
    <t>547 EA cases, 549 EA controls</t>
  </si>
  <si>
    <t>6668 EA individuals</t>
  </si>
  <si>
    <t>740 EA individuals</t>
  </si>
  <si>
    <t>775 EA cases, 3197 EA controls</t>
  </si>
  <si>
    <t>861 British cases (324 MR-UC and 537 non-MR-UC), 2601 EA non-IBD controls</t>
  </si>
  <si>
    <t>871 EA, 191 African American, and 75 Hispanic participants</t>
  </si>
  <si>
    <t>92 EA women</t>
  </si>
  <si>
    <t>97 unrelated EA cases, 93 EA controls</t>
  </si>
  <si>
    <t>977 EAs</t>
  </si>
  <si>
    <t>Up to 2380 EA individuals (including 1455 EA cases)</t>
  </si>
  <si>
    <t>Up to 434 EA MCI cases, 236 EA AD cases, 284 EA controls</t>
  </si>
  <si>
    <t>Up to 5633 EA individuals</t>
  </si>
  <si>
    <t>Up to 3457 EA individuals</t>
  </si>
  <si>
    <t>Asian</t>
  </si>
  <si>
    <t>European</t>
  </si>
  <si>
    <t>Mixed</t>
  </si>
  <si>
    <t>265 Norwegian non-small lung carcinoma cases, 356 Norwegian controls</t>
  </si>
  <si>
    <t>Native</t>
  </si>
  <si>
    <t>3124 mixed cases,3142 controls</t>
  </si>
  <si>
    <t>Unspecified</t>
  </si>
  <si>
    <t>1176 EA cases,2072 controls</t>
  </si>
  <si>
    <t>31 Japanese cases + 168 controls, 283 Singapore cases + 195 controls, 47 Danish cases + 108 controls</t>
  </si>
  <si>
    <t>564 Japanese cases + 562 controls, 394 Japanese cases + 958 controls</t>
  </si>
  <si>
    <t>Affymetrix [366140]</t>
  </si>
  <si>
    <t>193 EA brain samples</t>
  </si>
  <si>
    <t>1032 EA cases + 571 controls, 210 AA cases + 346 controls</t>
  </si>
  <si>
    <t>3941 EA cases,3964 controls</t>
  </si>
  <si>
    <t>1000 Northern EA individuals</t>
  </si>
  <si>
    <t>13671 EA individuals</t>
  </si>
  <si>
    <t>7394 Indian Asian samples, 4561 EA samples</t>
  </si>
  <si>
    <t>26 EA cases + 26 controls, 3 Hispanic cases + 3 controls, 1 AA case + 1 control</t>
  </si>
  <si>
    <t>Up to 8465 US and Australian EA individuals</t>
  </si>
  <si>
    <t>242 Japanese cases + 485 controls, 417 Han Chinese cases + 413 controls</t>
  </si>
  <si>
    <t>1011 EA cases + 4250 controls</t>
  </si>
  <si>
    <t>1922 EA cases,14124 controls</t>
  </si>
  <si>
    <t>2271 (mixed, unspecified) cases, 1868 controls</t>
  </si>
  <si>
    <t>1022 EA cases, 2503 controls</t>
  </si>
  <si>
    <t>1076 EA individuals</t>
  </si>
  <si>
    <t>314 Chinese SLE patients and 920 controls</t>
  </si>
  <si>
    <t>918 Chinese SLE cases + 1440 controls, 278 Thai patients + 383 controls</t>
  </si>
  <si>
    <t>up to 13602 EA samples</t>
  </si>
  <si>
    <t>Hispanic</t>
  </si>
  <si>
    <t>538 (unspecified) cases, 556 controls</t>
  </si>
  <si>
    <t>846 EA cases, 803 controls</t>
  </si>
  <si>
    <t>595 EA cases and 3357 controls</t>
  </si>
  <si>
    <t>150 unrelated EA samples of blood, adipose</t>
  </si>
  <si>
    <t>38580 EA individuals</t>
  </si>
  <si>
    <t>Up to 102064 EA individuals</t>
  </si>
  <si>
    <t>1490 unrelated EA individuals</t>
  </si>
  <si>
    <t>At least 1553 affected offspring (multiple races/ethnicities, from families)</t>
  </si>
  <si>
    <t>1019 EA cases and 591 normal controls</t>
  </si>
  <si>
    <t>259 Scandinavian cases, 729 Scandinavian controls, 498 Central European cases, 554 Central European controls, 268 US cases, 554 US controls</t>
  </si>
  <si>
    <t>2392 US cases, 2271 US controls</t>
  </si>
  <si>
    <t>174 Han Chinese T2D w/diabetic retinopathy, 575 Han Chinese T2D w/o diabetic retinopathy, 100 Han Chinese controls</t>
  </si>
  <si>
    <t>2680 Icelandic individuals, 2791 Dutch individuals, 771 Sorbian individuals, 369 US individuals</t>
  </si>
  <si>
    <t>3417 EA individuals from isolated villages</t>
  </si>
  <si>
    <t>Up to 973 individuals (presumed EA) with cystic fibrosis from sibling pairs</t>
  </si>
  <si>
    <t>41 EA healthy females + 703 EA female controls</t>
  </si>
  <si>
    <t>30 female EA cases + 362 female controls</t>
  </si>
  <si>
    <t>1382 EA cases + 2201 controls</t>
  </si>
  <si>
    <t>2121 EA individuals</t>
  </si>
  <si>
    <t>1468 Han Chinese cases + 1516 controls</t>
  </si>
  <si>
    <t>3994 Han Chinese cases + 3510 controls</t>
  </si>
  <si>
    <t>3177 UK EA cases + 4894 controls</t>
  </si>
  <si>
    <t>5165 UK cases, 6155 controls, 4095 UK cases + 3062 controls, 6604 European cases + 10393 controls</t>
  </si>
  <si>
    <t>10701 EA nondiabetics</t>
  </si>
  <si>
    <t>16378 EA nondiabetics</t>
  </si>
  <si>
    <t>5561 South Asian cases, 14458 controls</t>
  </si>
  <si>
    <t>13170 South Asians cases, 25398 controls</t>
  </si>
  <si>
    <t>5006 EA samples</t>
  </si>
  <si>
    <t>2308 EA cases</t>
  </si>
  <si>
    <t>866 EA (Amish) samples</t>
  </si>
  <si>
    <t>1932 Amish and 647 non-Amish EA samples</t>
  </si>
  <si>
    <t xml:space="preserve">1119 Japanese cases + 2718 controls </t>
  </si>
  <si>
    <t>432 Japanese cases + 1157 controls</t>
  </si>
  <si>
    <t>1040 non-diabetic AA samples</t>
  </si>
  <si>
    <t>2669 EA asthmatics, 4528 controls</t>
  </si>
  <si>
    <t>2062 Chinese females cases, 2066 controls</t>
  </si>
  <si>
    <t>15091 Chinese females cases, 14877 controls (pooled)</t>
  </si>
  <si>
    <t>69395 EA individuals</t>
  </si>
  <si>
    <t>133661 EA individuals</t>
  </si>
  <si>
    <t>142 EA samples</t>
  </si>
  <si>
    <t>69 EA samples</t>
  </si>
  <si>
    <t>605 EA cases of High HDL-C and 724 controls</t>
  </si>
  <si>
    <t>9934 EA cases and 16956 controls</t>
  </si>
  <si>
    <t>76 EA male VnD cases, 1123 male and female controls</t>
  </si>
  <si>
    <t>188  EA male VnD cases, 1915 controls (pooled)</t>
  </si>
  <si>
    <t>1317 EA cases, 5053 controls (and also 5632 non-TSH controls)</t>
  </si>
  <si>
    <t>2168 EA cases and 4387 controls</t>
  </si>
  <si>
    <t>20427 AA individuals</t>
  </si>
  <si>
    <t>8938 EA men</t>
  </si>
  <si>
    <t>3054 Australian EA cases and 6311 controls</t>
  </si>
  <si>
    <t>18600 EA individuals</t>
  </si>
  <si>
    <t>Up to EA 18838 individuals</t>
  </si>
  <si>
    <t>496 AA HIV-1 infected individuals, 302 AA HIV-1 exposed and uninfected individuals</t>
  </si>
  <si>
    <t>1865 European cases and 1750 controls</t>
  </si>
  <si>
    <t>1385 European cases and 1246 controls</t>
  </si>
  <si>
    <t>727 European case subjects and 5081 controls</t>
  </si>
  <si>
    <t>707 non-diabetic AA samples</t>
  </si>
  <si>
    <t>425 non-diabetic AA samples</t>
  </si>
  <si>
    <t>1304 EA participants</t>
  </si>
  <si>
    <t>Kottgen A</t>
  </si>
  <si>
    <t>2388 EA cases + 17489 controls</t>
  </si>
  <si>
    <t>1932 EA cases + 19534 controls</t>
  </si>
  <si>
    <t>5502 European and Indian Asian (unspecified proportions) men and women, 4761 EA Finnish samples, 5226 EA Swiss samples, 1781 unspecified, 687 French samples</t>
  </si>
  <si>
    <t>13615 European and Indian Asian (unspecified proportions) men and women, 8328 unspecified samples, 3624 unspecified samples, up to 4863 British samples, 5039 German samples, 4043 unspecified samples, 20475 European and Indian Asian (unspecified proportions) samples</t>
  </si>
  <si>
    <t>569 unspecified females</t>
  </si>
  <si>
    <t>3761 EA individuals, 154 AA individuals</t>
  </si>
  <si>
    <t>14767 EA samples, 4552 AA samples</t>
  </si>
  <si>
    <t>Up to 68988 mostly EA participants</t>
  </si>
  <si>
    <t>3001 Japanese cases, 5415 controls</t>
  </si>
  <si>
    <t>Up to EA 1447 cases, 1468 controls</t>
  </si>
  <si>
    <t>6192 mostly EA samples (from trios), 896 cases, and 2455 controls mostly</t>
  </si>
  <si>
    <t>444 Japanese individuals</t>
  </si>
  <si>
    <t>22054 EA women</t>
  </si>
  <si>
    <t>Up to EA 1831 cases, 2546 controls</t>
  </si>
  <si>
    <t>Up to 4064 (presumed) EA cases, 4685 controls</t>
  </si>
  <si>
    <t>8382 mostly EA cases, 48275 controls</t>
  </si>
  <si>
    <t>3332 EA cases, 3228 controls</t>
  </si>
  <si>
    <t>1264 EA cases, 1222 controls</t>
  </si>
  <si>
    <t>Up to 14731 (presumed) EA women</t>
  </si>
  <si>
    <t>124 Arab Wadi Ara cases, 142 Arab Wadi Ara controls</t>
  </si>
  <si>
    <t>140 mostly EA children</t>
  </si>
  <si>
    <t>2198 EA cases, 4918 controls</t>
  </si>
  <si>
    <t>26 EA cases, 196 EA controls, 11 unspecified cases, 90 unspecified controls</t>
  </si>
  <si>
    <t>21 EA cases, 123 EA controls, 3 unspecified cases, 32 unspecified controls</t>
  </si>
  <si>
    <t>2835 unspecified women</t>
  </si>
  <si>
    <t>23170 EA women, 3078 unspecified samples</t>
  </si>
  <si>
    <t>2024 EA samples</t>
  </si>
  <si>
    <t>35 unspecified children with asthma, 44 children with rhinoconjunctivitis</t>
  </si>
  <si>
    <t>31 (presumed) EA healthy individuals</t>
  </si>
  <si>
    <t>28834 unspecified cases, 27674 controls, 2115 individuals</t>
  </si>
  <si>
    <t>2169 EA celiac disease cases, 2845 rheumatoid arthritis cases, 7199 controls</t>
  </si>
  <si>
    <t>1295 EA attempters, 1822 non-attempters</t>
  </si>
  <si>
    <t>1153 EA cases, 1215 controls</t>
  </si>
  <si>
    <t>515 EA cases with VF and 457 controls without VF</t>
  </si>
  <si>
    <t>319 Spanish cases, 769 Spanish controls, 2690 (presumed) EA cases, 2237 controls</t>
  </si>
  <si>
    <t>5640 (presumed) EA cases, 52174 controls</t>
  </si>
  <si>
    <t>1068 EA cases with AAO values</t>
  </si>
  <si>
    <t>16179 EA individuals</t>
  </si>
  <si>
    <t>2050 (presumed) EA cases and 1836 controls</t>
  </si>
  <si>
    <t>4501 EA cases + 6076 controls</t>
  </si>
  <si>
    <t>4218 unspecified cases, 7296 controls</t>
  </si>
  <si>
    <t>572 EA individuals</t>
  </si>
  <si>
    <t>434 Korean patients and 1000 controls</t>
  </si>
  <si>
    <t>4296 EA individuals</t>
  </si>
  <si>
    <t>15797 EA asthmatics, 42003 controls (pooled)</t>
  </si>
  <si>
    <t>2940 EA cases, 1380 controls, 1411 EA cases, 313 Hispanic cases</t>
  </si>
  <si>
    <t>2168 EA cases + 4387 controls, 2804 EA cases + 7618 controls</t>
  </si>
  <si>
    <t>11202 EA cases + 30733 controls, 4393 South Asian cases + 4259 controls</t>
  </si>
  <si>
    <t>17121 (presumed) EA cases and 40473 controls</t>
  </si>
  <si>
    <t>806 Japanese cases + 1337 controls, 541 Japanese cases</t>
  </si>
  <si>
    <t>3052 Japanese cases and 6335 controls</t>
  </si>
  <si>
    <t>263 (presumed) EA cases, 1616 controls</t>
  </si>
  <si>
    <t>5193 (presumed) EA cases and 15144 controls (pooled)</t>
  </si>
  <si>
    <t>5491 EA men (pooled)</t>
  </si>
  <si>
    <t>2222 (unspecified) AD cases (meta)</t>
  </si>
  <si>
    <t>1023 German individuals (from families), 896 controls and 2455 cases (from trios)</t>
  </si>
  <si>
    <t>4727 mixed (unspecified) subjects</t>
  </si>
  <si>
    <t>318 Australian EA cases, 507 controls</t>
  </si>
  <si>
    <t>European/Unspecified</t>
  </si>
  <si>
    <t>1673 (presumed) EA cases and 6616 controls</t>
  </si>
  <si>
    <t>2038 (presumed or specified) EA cases, 37698 controls</t>
  </si>
  <si>
    <t>67 EA cases + 1952 controls, 63 unspecified cases</t>
  </si>
  <si>
    <t>368 EA cases, 41 unspecified cases [unspecified, calculated from proportions given]</t>
  </si>
  <si>
    <t>200 EA cases + 230 controls, 157 AA cases + 180 controls, 111 Hispanic cases + 123 controls, 63 Asian ancestry cases + 72 controls, 397 EA samples, 45 Hispanic samples, 21 unspecified (unidentified) samples, 177 cases + 193 controls (mostly European)</t>
  </si>
  <si>
    <t>417 EA cases + 411 controls, 217 AA cases + 219 controls, 104 (unspecified) unspecified cases + 103 controls</t>
  </si>
  <si>
    <t>66 EA samples, 91 AA samples, 23 unspecified (unspecified) samples</t>
  </si>
  <si>
    <t>356 EA, 53 AA, 78 (unspecified) unspecified</t>
  </si>
  <si>
    <t>417 EA cases, 217 AA cases, 104 (unspecified) unspecified cases</t>
  </si>
  <si>
    <t>738 European American, African American, and unspecified schizophrenia cases</t>
  </si>
  <si>
    <t>2698 EA, 1257 AA, 8 (unspecified) unspecified</t>
  </si>
  <si>
    <t>35 EA cases + 149 controls, 6 Hispanic cases + 25 controls, 2 unspecified controls [calculated from proportions given]</t>
  </si>
  <si>
    <t>81 EA cases + 340 controls, 13 Hispanic cases + 56 controls, 2 unspecified cases + 5 controls [calculated from proportions given]</t>
  </si>
  <si>
    <t>At least 1230 EA cases + 155 unspecified cases, 1434 EA controls, 511 AA controls, 20 unspecified controls</t>
  </si>
  <si>
    <t>At least 783 EA cases + 303 unspecified cases</t>
  </si>
  <si>
    <t>88 EA cases, 40 AA cases, 3 unspecified ancestry cases, 129 EA controls, 62 AA controls, 5 unspecified ancestry controls</t>
  </si>
  <si>
    <t>286 EA cases + 142 controls, 2 AA cases + 1 control, 5 (unspecified) cases and 2 controls [unspecified, calculated based on 0.976 EA rate]</t>
  </si>
  <si>
    <t>556 EA cases, 4 AA cases, 10 unspecified cases (unspecified)</t>
  </si>
  <si>
    <t>373 EA samples, 30 (unspecified) unspecified ancestry samples</t>
  </si>
  <si>
    <t>55 Asian ancestry cases, 1382 EA cases, 184 African American ancestry cases, 42 unspecified ancestry cases, 134 Asian ancestry controls, 1428 EA controls, 127 African American ancestry controls, 87 unspecified ancestry controls</t>
  </si>
  <si>
    <t>383 EA cases + 364 controls, 60 unspecified/mixed cases + 68 controls, 1 Asian control</t>
  </si>
  <si>
    <t>270 EA cases + 276 controls, 61 unspecified/mixed cases + 56 controls, 1 Asian case</t>
  </si>
  <si>
    <t>958 EA samples, 207 Asian samples, 104 South Asian/Indian, 26 unspecified samples</t>
  </si>
  <si>
    <t>36 EA cases + 21 controls, 1 AA case + 5 controls, 2 unspecified cases + 3 controls</t>
  </si>
  <si>
    <t>76 children: 73 EA, 1 Asian, 1 African, 1 unspecified</t>
  </si>
  <si>
    <t>62 American Indian or Alaska Native ancestry individuals, 158 Asian ancestry individuals, 3272 African American ancestry individuals, 114 unspecified ancestry individuals, 23244 EA individuals, 996 unspecified ancestry individuals</t>
  </si>
  <si>
    <t>82 samples (unspecified ancestry) normal leukocytes and leukemia cells from individuals with leukemia</t>
  </si>
  <si>
    <t>52 Ashkenazi ancestry TD individuals, 44 unspecified ancestry individuals, 41 Ashkenazi ancestry non-TD individuals, 33 unspecified ancestry non-TD individuals</t>
  </si>
  <si>
    <t>438 EA samples, 136 unspecified samples, 192 unspecified samples, 750 EA controls, 135 EA cases + 275 controls</t>
  </si>
  <si>
    <t>99 EA subjects</t>
  </si>
  <si>
    <t>7679 EA samples, 12 AA samples, 2 Native American samples</t>
  </si>
  <si>
    <t>761 EA, 39 AA, 14 Asian, 3 unspecified, 1 American Indian or Alaskan native</t>
  </si>
  <si>
    <t>1264 AA samples, 1104 EA samples, 3996 EA samples, 2761 EA samples, 2726 (unspecified) samples</t>
  </si>
  <si>
    <t>14453 cases, 13259 controls: 1175 Canadian cases + 1184 controls, 1373 German cases + 1480 controls, 2253 British cases + 2262 controls, 1789 Israeli cases + 1771 controls, 4400 Japanese cases + 3179 controls, 2169 German cases + 2145 controls, 937 Scottish cases + 941 controls, 357 Spanish cases + 297 controls</t>
  </si>
  <si>
    <t>18544 EA individuals, 4259 Asian samples</t>
  </si>
  <si>
    <t>468 European cases + 438 controls, 1544 EA stroke cases + 18058 controls</t>
  </si>
  <si>
    <t>1465 EA samples, 251 EA samples, 300 Pima Indians cases + 334 controls, 287 Mexican-American cases + 316 controls, 124 EA (Amish) cases + 295 controls, 1464 EA cases + 1467 controls</t>
  </si>
  <si>
    <t>13818 (presumed) EA cases + 14070 controls, 9764 (mixed, unspecified) samples, 783 EA samples, 169 AA samples, 31 Hispanic samples, 5 unspecified samples [calculated from proportions given pre-QC]</t>
  </si>
  <si>
    <t>Total Discovery + Replication sample size</t>
  </si>
  <si>
    <t>Total discovery samples</t>
  </si>
  <si>
    <t>African ancestry</t>
  </si>
  <si>
    <t>East Asian</t>
  </si>
  <si>
    <t>Indian/South Asian</t>
  </si>
  <si>
    <t>Micronesian</t>
  </si>
  <si>
    <t>Arab/ME</t>
  </si>
  <si>
    <t>Unspec</t>
  </si>
  <si>
    <t>Filipino</t>
  </si>
  <si>
    <t>Indonesian</t>
  </si>
  <si>
    <t>Total replication samples</t>
  </si>
  <si>
    <t>GWAS description</t>
  </si>
  <si>
    <t>African</t>
  </si>
  <si>
    <t>1171 dependent cases, 1395 controls EA and 652 dependent cases, 499 controls of African American ancestry</t>
  </si>
  <si>
    <t>Illumina [1701673] (imputed)</t>
  </si>
  <si>
    <t>Illumina [373397]</t>
  </si>
  <si>
    <t>Affymetrix 6.0 [906600] (pooled, unspecified)</t>
  </si>
  <si>
    <t>Illumina [550000] (unspecified)</t>
  </si>
  <si>
    <t>Affymetrix [100000] (pooled, unspecified)</t>
  </si>
  <si>
    <t>Affymetrix [906600] (pooled, unspecified)</t>
  </si>
  <si>
    <t>Illumina [610000] (pooled, unspecified)</t>
  </si>
  <si>
    <t>Illumina [500000] (unspecified)</t>
  </si>
  <si>
    <t>Illumina [300000] (pooled, unspecified)</t>
  </si>
  <si>
    <t>Affymetrix [550000] (unspecified)</t>
  </si>
  <si>
    <t>Illumina [1087002]</t>
  </si>
  <si>
    <t>Illumina [327687] (imputed, unspecified)</t>
  </si>
  <si>
    <t>Affymetrix [500000] (unspecified)</t>
  </si>
  <si>
    <t>Affymetrix [276122]</t>
  </si>
  <si>
    <t>Affymetrix [432096]</t>
  </si>
  <si>
    <t>Affymetrix [1922309] (imputed)</t>
  </si>
  <si>
    <t>Illumina [2383238] (imputed)</t>
  </si>
  <si>
    <t>Affymetrix, Illumina &amp; Perlegen [1206462] (imputed)</t>
  </si>
  <si>
    <t>Affymetrix &amp; Illumina [2661766] (imputed)</t>
  </si>
  <si>
    <t>Affymetrix &amp; Illumina [~2500000] (imputed)</t>
  </si>
  <si>
    <t>Illumina [7258070] (imputed)</t>
  </si>
  <si>
    <t>Affymetrix, Illumina, and Perlegen [2652054] (imputed)</t>
  </si>
  <si>
    <t>HapMap [2217232] (imputed)</t>
  </si>
  <si>
    <t>Affymetrix &amp; Illumina [~2550000] (imputed, unspecified)</t>
  </si>
  <si>
    <t>Affymetrix [500000] (pooled, unspecified)</t>
  </si>
  <si>
    <t>Illumina [1000000] (unspecified)</t>
  </si>
  <si>
    <t>Array not specified</t>
  </si>
  <si>
    <t>Illumina [650000] (unspecified)</t>
  </si>
  <si>
    <t>Affymetrix &amp; Illumina [550000] (unspecified)</t>
  </si>
  <si>
    <t>Illumina [311399]</t>
  </si>
  <si>
    <t>Sequenom [83715]</t>
  </si>
  <si>
    <t>Affymetrix &amp; Illumina [450001] (imputed, unspecified)</t>
  </si>
  <si>
    <t>Illumina [610000] (imputed, unspecified)</t>
  </si>
  <si>
    <t>Illumina [NR] (imputed, unspecified)</t>
  </si>
  <si>
    <t>Affymetrix &amp; Illumina [2557000] (imputed)</t>
  </si>
  <si>
    <t>Illumina [5700000] (imputed)</t>
  </si>
  <si>
    <t>Illumina [511862]</t>
  </si>
  <si>
    <t>Affymetrix, Illumina &amp; Perlegen [NR] (imputed, unspecified)</t>
  </si>
  <si>
    <t>Illumina [2600000] (imputed)</t>
  </si>
  <si>
    <t>Affymetrix [109511]</t>
  </si>
  <si>
    <t>Genome Inform</t>
  </si>
  <si>
    <t>Dissertation chapter</t>
  </si>
  <si>
    <t>Genome-wide analysis of transcript isoform variation in humans.</t>
  </si>
  <si>
    <t>Identification of common genetic variants that account for transcript isoform variation between human populations.</t>
  </si>
  <si>
    <t>Forty-three loci associated with plasma lipoprotein size, concentration, and cholesterol content in genome-wide analysis.</t>
  </si>
  <si>
    <t>Genetic variants associated with Lp(a) lipoprotein level and coronary disease.</t>
  </si>
  <si>
    <t>Genome-wide mRNA expression correlates of viral control in CD4+ T-cells from HIV-1-infected individuals.</t>
  </si>
  <si>
    <t>Systems genetics analysis of gene-by-environment interactions in human cells.</t>
  </si>
  <si>
    <t>Pathway-Wide Association Study Implicates Multiple Sterol Transport and Metabolism Genes in HDL Cholesterol Regulation.</t>
  </si>
  <si>
    <t>Extent of height variability explained by known height-associated genetic variants in an isolated population of the Adriatic coast of Croatia.</t>
  </si>
  <si>
    <t>Detecting low frequent loss-of-function alleles in genome wide association studies with red hair color as example.</t>
  </si>
  <si>
    <t>Sensitivity of genome-wide-association signals to phenotyping strategy: the PROP-TAS2R38 taste association as a benchmark.</t>
  </si>
  <si>
    <t>MicroRNA expression in abdominal and gluteal adipose tissue is associated with mRNA expression levels and partly genetically driven.</t>
  </si>
  <si>
    <t>A novel, functional and replicable risk gene region for alcohol dependence identified by genome-wide association study.</t>
  </si>
  <si>
    <t>Genome-wide association studies for bivariate sparse longitudinal data.</t>
  </si>
  <si>
    <t>Genetics of venous thrombosis: insights from a new genome wide association study.</t>
  </si>
  <si>
    <t>Genome-wide assessment for genetic variants associated with ventricular dysfunction after primary coronary artery bypass graft surgery.</t>
  </si>
  <si>
    <t>Replication of LDL GWAs hits in PROSPER/PHASE as validation for future (pharmaco)genetic analyses.</t>
  </si>
  <si>
    <t>Genetics of sputum gene expression in chronic obstructive pulmonary disease.</t>
  </si>
  <si>
    <t>The nuclear transcription factor PKNOX2 is a candidate gene for substance dependence in European-origin women.</t>
  </si>
  <si>
    <t>Global analysis of the impact of environmental perturbation on cis-regulation of  gene expression.</t>
  </si>
  <si>
    <t>Identification of cis- and trans-regulatory variation modulating microRNA expression levels in human fibroblasts.</t>
  </si>
  <si>
    <t>Platelet CD36 surface expression levels affect functional responses to oxidized LDL and are associated with inheritance of specific genetic polymorphisms.</t>
  </si>
  <si>
    <t>Multiple Loci modulate opioid therapy response for cancer pain.</t>
  </si>
  <si>
    <t>DPP6 as a candidate gene for neuroleptic-induced tardive dyskinesia.</t>
  </si>
  <si>
    <t>Prioritization and Association Analysis of Murine-Derived Candidate Genes in Anxiety-Spectrum Disorders.</t>
  </si>
  <si>
    <t>A genome-wide meta-analysis of six type 1 diabetes cohorts identifies multiple associated loci.</t>
  </si>
  <si>
    <t>Large-scale gene-centric analysis identifies novel variants for coronary artery disease.</t>
  </si>
  <si>
    <t>A genome-wide metabolic QTL analysis in Europeans implicates two loci shaped by recent positive selection.</t>
  </si>
  <si>
    <t>Genetic association for renal traits among participants of African ancestry reveals new loci for renal function.</t>
  </si>
  <si>
    <t>Polymorphisms in B3GAT1, SLC9A9 and MGAT5 are associated with variation within the human plasma N-glycome of 3533 European adults.</t>
  </si>
  <si>
    <t>Genetic variants in novel pathways influence blood pressure and cardiovascular disease risk.</t>
  </si>
  <si>
    <t>A Gaussian copula approach for the analysis of secondary phenotypes in case-control genetic association studies.</t>
  </si>
  <si>
    <t>Genomewide association between GLCCI1 and response to glucocorticoid therapy in asthma.</t>
  </si>
  <si>
    <t>A phenomics-based strategy identifies loci on APOC1, BRAP, and PLCG1 associated with metabolic syndrome phenotype domains.</t>
  </si>
  <si>
    <t>A genome-wide association study with DNA pooling identifies the variant rs11866328 in the GRIN2A gene that affects disease progression of chronic HBV infection.</t>
  </si>
  <si>
    <t>Genetic determinants of serum testosterone concentrations in men.</t>
  </si>
  <si>
    <t>Identification, replication, and fine-mapping of Loci associated with adult height in individuals of african ancestry.</t>
  </si>
  <si>
    <t>Variants near FOXE1 are associated with hypothyroidism and other thyroid conditions: using electronic medical records for genome- and phenome-wide studies.</t>
  </si>
  <si>
    <t>Genomics of ADME gene expression: mapping expression quantitative trait loci relevant for absorption, distribution, metabolism and excretion of drugs in human liver.</t>
  </si>
  <si>
    <t>Genome-wide association analysis of ischemic stroke in young adults.</t>
  </si>
  <si>
    <t>Identification of low-frequency variants associated with gout and serum uric acid levels.</t>
  </si>
  <si>
    <t>Genome-wide association study identifies a new melanoma susceptibility locus at 1q21.3.</t>
  </si>
  <si>
    <t>Mutations in BRIP1 confer high risk of ovarian cancer.</t>
  </si>
  <si>
    <t>Evidence for association of an ACCN1 gene variant with response to lithium treatment in Sardinian patients with bipolar disorder.</t>
  </si>
  <si>
    <t>A germline variant in the TP53 polyadenylation signal confers cancer susceptibility.</t>
  </si>
  <si>
    <t>Genetics of serum BDNF: Meta-analysis of the Val66Met and genome-wide association study.</t>
  </si>
  <si>
    <t>A pilot genome wide association and gene expression array study of suicide with and without major depression.</t>
  </si>
  <si>
    <t>Genome-wide association of an integrated osteoporosis-related phenotype: is there evidence for pleiotropic genes?</t>
  </si>
  <si>
    <t>A K(ATP) channel gene effect on sleep duration: from genome-wide association studies to function in Drosophila.</t>
  </si>
  <si>
    <t>A genome-wide survey and functional brain imaging study identify CTNNBL1 as a memory-related gene.</t>
  </si>
  <si>
    <t>Genome-wide identification of chemosensitive single nucleotide polymorphism markers in gastric cancer.</t>
  </si>
  <si>
    <t>Sifting the wheat from the chaff: prioritizing GWAS results by identifying consistency across analytical methods.</t>
  </si>
  <si>
    <t>Linkage and association analyses of glaucoma related traits in a large pedigree from a Dutch genetically isolated population.</t>
  </si>
  <si>
    <t>Dense genotyping identifies and localizes multiple common and rare variant association signals in celiac disease.</t>
  </si>
  <si>
    <t>The genetics of antipsychotic induced tremors: a genome-wide pathway analysis on  the STEP-BD SCP sample.</t>
  </si>
  <si>
    <t>Identification of FGF7 as a novel susceptibility locus for chronic obstructive pulmonary disease.</t>
  </si>
  <si>
    <t>Blood pressure loci identified with a gene-centric array.</t>
  </si>
  <si>
    <t>Genomics of human health and aging.</t>
  </si>
  <si>
    <t>Genome-wide associated loci influencing interleukin (IL)-10, IL-1Ra, and IL-6 levels in African Americans.</t>
  </si>
  <si>
    <t>The role of variation at AbetaPP, PSEN1, PSEN2, and MAPT in late onset Alzheimer's disease.</t>
  </si>
  <si>
    <t>Interactions of single nucleotide polymorphisms with dietary calcium intake on the risk of metabolic syndrome.</t>
  </si>
  <si>
    <t>Genetic and environmental correlates of topiramate-induced cognitive impairment.</t>
  </si>
  <si>
    <t>Association of CD247 with systemic lupus erythematosus in Asian populations.</t>
  </si>
  <si>
    <t>Eight genetic loci associated with variation in lipoprotein-associated phospholipase A2 mass and activity and coronary heart disease: meta-analysis of genome-wide association studies from five community-based studies.</t>
  </si>
  <si>
    <t>Genome-wide association study of alcohol dependence implicates KIAA0040 on chromosome 1q.</t>
  </si>
  <si>
    <t>Meta-analysis of gene-based genome-wide association studies of bone mineral density in Chinese and European subjects.</t>
  </si>
  <si>
    <t>Association of 8q22.3 locus in Chinese Han with idiopathic premature ovarian failure (POF).</t>
  </si>
  <si>
    <t>A genome-wide association study identifies a potential novel gene locus for keratoconus, one of the commonest causes for corneal transplantation in developed countries.</t>
  </si>
  <si>
    <t>Genomewide association study using a high-density single nucleotide polymorphism  array and case-control design identifies a novel essential hypertension susceptibility locus in the promoter region of endothelial NO synthase.</t>
  </si>
  <si>
    <t>Genetic variants and environmental factors associated with hormonal markers of ovarian reserve in Caucasian and African American women.</t>
  </si>
  <si>
    <t>Clinical and genetic association of serum ceruloplasmin with cardiovascular risk.</t>
  </si>
  <si>
    <t>Genome-wide association study does not reveal major genetic determinants for anti-cytomegalovirus antibody response.</t>
  </si>
  <si>
    <t>Investigating the contribution of common genetic variants to the risk and pathogenesis of ADHD.</t>
  </si>
  <si>
    <t>Genome-wide and gene-based association implicates FRMD6 in Alzheimer disease.</t>
  </si>
  <si>
    <t>Genome-wide association study of coronary artery disease in the Japanese.</t>
  </si>
  <si>
    <t>The 18p11.22 locus is associated with never smoker non-small cell lung cancer susceptibility in Korean populations.</t>
  </si>
  <si>
    <t>Use of diverse electronic medical record systems to identify genetic risk for type 2 diabetes within a genome-wide association study.</t>
  </si>
  <si>
    <t>Metabolic and cardiovascular genes in polycystic ovary syndrome: a candidate-wide association study (CWAS).</t>
  </si>
  <si>
    <t>Replication of loci influencing ages at menarche and menopause in Hispanic women: the Women's Health Initiative SHARe Study.</t>
  </si>
  <si>
    <t>Gout and Type 2 diabetes have a mutual inter-dependent effect on genetic risk factors and higher incidences.</t>
  </si>
  <si>
    <t>Integrating pathway analysis and genetics of gene expression for genome-wide association study of basal cell carcinoma.</t>
  </si>
  <si>
    <t>Epilepsia</t>
  </si>
  <si>
    <t>Steroids</t>
  </si>
  <si>
    <t>Rheumatology (Oxford)</t>
  </si>
  <si>
    <t>PLoS Pathog</t>
  </si>
  <si>
    <t>Osteoporos Int</t>
  </si>
  <si>
    <t>Biostatistics</t>
  </si>
  <si>
    <t>Viral Immunol</t>
  </si>
  <si>
    <t>Lupus</t>
  </si>
  <si>
    <t>J Am Med Inform Assoc</t>
  </si>
  <si>
    <t>Age (Dordr)</t>
  </si>
  <si>
    <t>Immunogenetics</t>
  </si>
  <si>
    <t>Front Genet</t>
  </si>
  <si>
    <t>G3 (Bethesda)</t>
  </si>
  <si>
    <t>KARE Genomewide Association Study of Blood Pressure Using Imputed SNPs</t>
  </si>
  <si>
    <t>Joint identification of multiple genetic variants of obesity in A Korean Genome-wide association study</t>
  </si>
  <si>
    <t xml:space="preserve">Application of Structural Equation Models to Genome-wide Association Analysis </t>
  </si>
  <si>
    <t>Comparison of Erythrocyte Traits Among European, Japanese and Korean</t>
  </si>
  <si>
    <t>Genome-Wide Association Analyses on Blood Pressure Using Three Different Phenotype Definitions</t>
  </si>
  <si>
    <t>Genomewide Association Study Identification of a New Genetic Locus with Susceptibility to Osteoporotic Fracture in the Korean Population</t>
  </si>
  <si>
    <t>Genome-wide Association Study Identified TIMP2 Genetic Variant with Susceptibility to Osteoarthritis</t>
  </si>
  <si>
    <t>Alzheimer's disease, age at onset</t>
  </si>
  <si>
    <t>Alcohol withdrawal symptoms</t>
  </si>
  <si>
    <t>Allergic rhinitis and grass sensitization</t>
  </si>
  <si>
    <t xml:space="preserve">Asthma </t>
  </si>
  <si>
    <t>Allergy;Inflammation;Environment</t>
  </si>
  <si>
    <t>Brain size</t>
  </si>
  <si>
    <t>Cardiovascular disease risk</t>
  </si>
  <si>
    <t>Breast cancer, clinical outcomes of adjuvant tamoxifen therapy</t>
  </si>
  <si>
    <t>Comorbid depressive syndrome and alcohol dependence</t>
  </si>
  <si>
    <t>Dengue shock syndrome</t>
  </si>
  <si>
    <t xml:space="preserve">Epilepsy </t>
  </si>
  <si>
    <t>Breast cancer, estrogen receptor-negative</t>
  </si>
  <si>
    <t>Heart rate response to exercise training</t>
  </si>
  <si>
    <t>Glaucoma-related traits</t>
  </si>
  <si>
    <t>Multiple myeloma</t>
  </si>
  <si>
    <t>Pelvic organ prolapse</t>
  </si>
  <si>
    <t>Cognitive decline, age-related rate of</t>
  </si>
  <si>
    <t>Hair color (red)</t>
  </si>
  <si>
    <t>Renal sinus fat accumulation</t>
  </si>
  <si>
    <t>Major depression, side-effects of antidepressant treatment</t>
  </si>
  <si>
    <t>Sleep duration</t>
  </si>
  <si>
    <t>Suicide, with and without major depression</t>
  </si>
  <si>
    <t>Testicular dysgenesis syndrome</t>
  </si>
  <si>
    <t>Cognitive impairment induced by topiramate</t>
  </si>
  <si>
    <t>Bipolar disorder, age of onset in</t>
  </si>
  <si>
    <t>Gastric cancer, chemosensitivity to oxaliplatin, docetaxel and paclitaxel</t>
  </si>
  <si>
    <t>Cancer;Gastric cancer;Gastrointestinal;Drug response</t>
  </si>
  <si>
    <t>Cancer;Gastric cancer;Gastrointestinal</t>
  </si>
  <si>
    <t>Infection;Hepatic;Hepatitis;Drug response</t>
  </si>
  <si>
    <t>Cancer;Liver cancer;Hepatic;Hepatitis;Infection</t>
  </si>
  <si>
    <t>Treatment response;Blood-related;Infection;Hepatic;Hepatitis</t>
  </si>
  <si>
    <t>Neuro;Behavioral;Depression;Alcohol;Addiction</t>
  </si>
  <si>
    <t>Corneal astigmatism</t>
  </si>
  <si>
    <t>Coronary artery calcification</t>
  </si>
  <si>
    <t>Vascular dementia</t>
  </si>
  <si>
    <t>Neuro;Infection;Mortality</t>
  </si>
  <si>
    <t>Infection;Arterial;Blood-related</t>
  </si>
  <si>
    <t>Phenotype categories assigned</t>
  </si>
  <si>
    <t>Cancer;Blood-related;Bone-related;Bone cancer;Anemia</t>
  </si>
  <si>
    <t>Cognitive function, normal and in bipolar disorder and schizophrenia</t>
  </si>
  <si>
    <t>Renal;Adipose-related</t>
  </si>
  <si>
    <t>Neuro;Depression;Behavioral;Mortality</t>
  </si>
  <si>
    <t>Neuro;Epilepsy</t>
  </si>
  <si>
    <t>Neuro;Cognition;Behavioral;Stroke</t>
  </si>
  <si>
    <t>Bone mineral density (BMD) and osteoporosis-related phenotypes</t>
  </si>
  <si>
    <t>Anxiety spectrum disorders</t>
  </si>
  <si>
    <t>Cognition, early reading ability</t>
  </si>
  <si>
    <t>Emphysema</t>
  </si>
  <si>
    <t>Erythrocyte sedimentation rate</t>
  </si>
  <si>
    <t>GABA concentration in the occipital cortex in children</t>
  </si>
  <si>
    <t>Idiopathic pulmonary fibrosis</t>
  </si>
  <si>
    <t>Nonalcoholic fatty liver disease</t>
  </si>
  <si>
    <t>Osteoporotic fracture</t>
  </si>
  <si>
    <t>2703 cases of Han Chinese ancestry, 3464 controls of  Han Chinese ancestry</t>
  </si>
  <si>
    <t>7809 EA individuals</t>
  </si>
  <si>
    <t>1591 EA individuals</t>
  </si>
  <si>
    <t>293 unspecified samples (from families), 391 EA cases, 188 EA controls</t>
  </si>
  <si>
    <t>216 European ancestry cases + 222 controls</t>
  </si>
  <si>
    <t>762 Japanese samples (from families), 541 Japanese cases + 744 controls</t>
  </si>
  <si>
    <t>8129 European ancestry</t>
  </si>
  <si>
    <t>896 French EA obese individuals + 2916 lean individuals</t>
  </si>
  <si>
    <t>1485 EA cases + 839 controls, 1738 EA cases + 3045 controls, 608 EA cases + 626 controls, 1098 EA cases + 1017 controls, 2099 EA cases + 1065 controls, 387 EA cases + 770 controls, 490 EA cases + 527 controls, 1206 EA cases + 600 controls, 519 EA cases + 578 controls, 425 EA cases + 435 controls, 1029 EA cases + 1761 controls, 1987 EA cases + 2374 controls, 799 EA cases + 800 controls, 3814 EA cases + 3890 controls, 612 EA cases + 554 controls, 1115 EA cases + 1265 controls, 732 EA cases + 829 controls, 1000 Taiwanese cases + 1000 controls, 474 Thailand cases + controls, 448 Japanese cases + 394 controls, 2442 Korean cases + 1780 controls,  796 (unspecified) cases + 842 controls, 1314 (unspecified) cases + 1515 controls, 733 (unspecified) cases + 1059 controls</t>
  </si>
  <si>
    <t>978 Australian samples (from families), 396 British siblings (from families)</t>
  </si>
  <si>
    <t>2008 Chinese individuals, 2281 Malay individuals</t>
  </si>
  <si>
    <t>94 Japanese CD patients and 752 Japanese controls</t>
  </si>
  <si>
    <t>749 Japanese cases + 750 controls, 457 Korean cases + 390 controls</t>
  </si>
  <si>
    <t>1490 European ancestry blood samples, 74 Dutch liver samples, 62 Dutch muscle samples, 83 Dutch subcutaneous adipose samples, 77 visceral adipose samples</t>
  </si>
  <si>
    <t>200 CD4+ lymphocyte samples in EA asthmatics</t>
  </si>
  <si>
    <t>156 EA Epstein-Barr transformed B-lymphoblastoid cell lines, 160 skin samples, 166 adipose samples</t>
  </si>
  <si>
    <t>848 omental adipose from gastric bypass patients, 701 subcutaneous adipose from gastric bypass patients, 651 liver tissues from gastric bypass patients, 118 stomach tissues from gastric bypass patients; European-American, African-American, Hispanic-American, Asian-American, unspecified</t>
  </si>
  <si>
    <t>156 EA individuals</t>
  </si>
  <si>
    <t>663 Old Order Amish individuals</t>
  </si>
  <si>
    <t>17296 European ancestry samples</t>
  </si>
  <si>
    <t>89 (unspecified) Norwegian samples</t>
  </si>
  <si>
    <t>816 EA individuals, 777 Asian ancestry individuals, 57 AA individuals</t>
  </si>
  <si>
    <t>390 Han Chinese cases, 516 Han Chinese controls</t>
  </si>
  <si>
    <t>263 EA cases, 5416 controls (controls taken from dbGAP and number altered for each analysis)</t>
  </si>
  <si>
    <t>710 Japanese cases, 1625 Japanese controls</t>
  </si>
  <si>
    <t>990 Japanese cases and 1236 Japanese controls</t>
  </si>
  <si>
    <t>660 Ashkenazi Jewish cases + 2271 controls</t>
  </si>
  <si>
    <t>2284 Australian individuals</t>
  </si>
  <si>
    <t>2010 Chinese cases, 1945 controls, 794 Malaysian cases, 1240 Malaysian controls, 977 Asian Indian cases, 1169 Asian Indian controls</t>
  </si>
  <si>
    <t>Affymetrix, Illumina &amp; Perlegen[~2.5 million] (imputed)</t>
  </si>
  <si>
    <t>Illumina [6858242] (imputed)</t>
  </si>
  <si>
    <t>Illumina &amp; Perlegen [465816]</t>
  </si>
  <si>
    <t>Illumina[1100000]</t>
  </si>
  <si>
    <t>Phenotype description</t>
  </si>
  <si>
    <t>Cancer;Blood-related;Developmental;Blood cancer;Leukemia</t>
  </si>
  <si>
    <t>Cancer;Blood-related;Blood cancer;Leukemia</t>
  </si>
  <si>
    <t>Drug response;Cancer;Blood-related;Developmental;Blood cancer;Leukemia</t>
  </si>
  <si>
    <t>Developmental;Aging;Reproductive;Gender;Female</t>
  </si>
  <si>
    <t>Cancer;Breast cancer;Gender;Female</t>
  </si>
  <si>
    <t>Cancer;Breast cancer;Mortality;Gender;Female</t>
  </si>
  <si>
    <t>Cancer;Breast cancer;Drug response;Gender;Female</t>
  </si>
  <si>
    <t>Cancer;Breast cancer;Developmental;Gender;Female</t>
  </si>
  <si>
    <t>Cancer;Breast cancer;Aging;Gender;Female</t>
  </si>
  <si>
    <t>Cancer;Cervical cancer;Reproductive;Gender;Female</t>
  </si>
  <si>
    <t>Cancer;Endometrial cancer;Reproductive;Gender;Female</t>
  </si>
  <si>
    <t>Reproductive;Aging;Gender;Female</t>
  </si>
  <si>
    <t>Neuro;Behavioral;Depression;Gender;Male;Female</t>
  </si>
  <si>
    <t>Major depression, gender differences</t>
  </si>
  <si>
    <t>Gender;Reproductive;Male</t>
  </si>
  <si>
    <t>Cancer;Ovarian cancer;Reproductive;Gender;Female</t>
  </si>
  <si>
    <t>Reproductive;Gender;Female;Hormonal</t>
  </si>
  <si>
    <t>Cardiomyopathy;Heart;Blood-related;Reproductive;Gender;Female</t>
  </si>
  <si>
    <t>Cancer;Prostate cancer;Gender;Male;Reproductive</t>
  </si>
  <si>
    <t>Cancer;Prostate cancer;Gender;Male;Reproductive;Mortality</t>
  </si>
  <si>
    <t>Reproductive;Gender;Male</t>
  </si>
  <si>
    <t>Cancer;Testicular cancer;Gender;Male;Reproductive</t>
  </si>
  <si>
    <t>Cancer;Breast cancer;Prostate cancer;Gender;Female;Male</t>
  </si>
  <si>
    <t>970 EA men and women</t>
  </si>
  <si>
    <t>1999 Chinese Han ancestry men</t>
  </si>
  <si>
    <t>996 Chinese Han ancestry men, 500 Zhuang Chinese ancestry men</t>
  </si>
  <si>
    <t>1333 German male cases and 2168 (gender not specified) controls</t>
  </si>
  <si>
    <t>Hair;Gender;Male</t>
  </si>
  <si>
    <t>578 EA male cases + 547 controls</t>
  </si>
  <si>
    <t>296 EA male cases + 347 controls</t>
  </si>
  <si>
    <t>1351 EA male cases + 2485 controls</t>
  </si>
  <si>
    <t>319 Australian male cases + 234 controls</t>
  </si>
  <si>
    <t>584 Han Chinese female cases, 585 Han Chinese controls</t>
  </si>
  <si>
    <t>2184 East Asian female cases, 2515 East Asian controls</t>
  </si>
  <si>
    <t>Body mass index (BMI), height, weight, waist circumference</t>
  </si>
  <si>
    <t>Hepatic;Gender;Female</t>
  </si>
  <si>
    <t>Systemic lupus erythematosus, in women</t>
  </si>
  <si>
    <t>Androgenic alopecia (Male pattern baldness)</t>
  </si>
  <si>
    <t>Asthma, toluene diisocynate induced</t>
  </si>
  <si>
    <t>Bilirubin levels, in serum</t>
  </si>
  <si>
    <t>Brain derived neurotrophic factor levels, in serum</t>
  </si>
  <si>
    <t>Calcium levels, in serum</t>
  </si>
  <si>
    <t>Ceruloplasmin levels, in serum</t>
  </si>
  <si>
    <t>Creatinine level, in serum</t>
  </si>
  <si>
    <t>Dehydroepiandrosterone sulphate (DHEAS) levels, in serum</t>
  </si>
  <si>
    <t>Ferritin levels, in serum</t>
  </si>
  <si>
    <t>Gamma-glutamyl transferase (GGT) levels, in serum</t>
  </si>
  <si>
    <t>Hepcidin, in serum</t>
  </si>
  <si>
    <t>IgE levels, in serum</t>
  </si>
  <si>
    <t>Aspartate aminotransferase (AAT) levels, in serum</t>
  </si>
  <si>
    <t>Adipocyte fatty acid-binding protein concentration, in serum</t>
  </si>
  <si>
    <t>Iron levels, in serum</t>
  </si>
  <si>
    <t>Lactate dehydrogenase, in serum</t>
  </si>
  <si>
    <t>Amyloid A levels, in serum</t>
  </si>
  <si>
    <t>Magnesium levels, in serum</t>
  </si>
  <si>
    <t>Matrix metalloproteinase (MMP-1) levels, in serum</t>
  </si>
  <si>
    <t>Phytosterol levels, in serum</t>
  </si>
  <si>
    <t>Phosphorous concentrations, in serum</t>
  </si>
  <si>
    <t>Prostate-specific antigen levels in men, in serum</t>
  </si>
  <si>
    <t>Soluble E-selectin levels, in serum</t>
  </si>
  <si>
    <t>Testosterone concentration in men, in serum</t>
  </si>
  <si>
    <t>Urate (in serum), gout</t>
  </si>
  <si>
    <t>Uric acid levels, in serum</t>
  </si>
  <si>
    <t>YKL-40 levels, in serum</t>
  </si>
  <si>
    <t>Age-related macular degeneration, advanced</t>
  </si>
  <si>
    <t xml:space="preserve">Breast cancer, BRCA1-positive </t>
  </si>
  <si>
    <t xml:space="preserve">Breast cancer, BRCA2-positive </t>
  </si>
  <si>
    <t>Chronic obstructive pulmonary disease (COPD)</t>
  </si>
  <si>
    <t>Vitamin D (25(OH)D), circulating levels</t>
  </si>
  <si>
    <t>Vitamin A (retinol), circulating levels</t>
  </si>
  <si>
    <t>Vitamin E, circulating levels</t>
  </si>
  <si>
    <t>Chronic kidney disease (CKD) and kidney stones</t>
  </si>
  <si>
    <t>Colorectal cancer, efficacy of capecitabine, oxaliplatin and bevacizumab in metastatic colorectal cancer</t>
  </si>
  <si>
    <t>Hypertension (essential hypertension)</t>
  </si>
  <si>
    <t>Coronary heart disease (incident CHD)</t>
  </si>
  <si>
    <t>Lipoprotein A [Lp(a)] levels and coronary artery disease</t>
  </si>
  <si>
    <t>Glaucoma, normal tension</t>
  </si>
  <si>
    <t>Glaucoma, open-angle</t>
  </si>
  <si>
    <t>Lipoprotein A [Lp(a)] levels in plasma</t>
  </si>
  <si>
    <t>Lipoprotein A [Lp(a)] levels in plasma, cardiovascular disease and mortality</t>
  </si>
  <si>
    <t>Metabolites, in plasma</t>
  </si>
  <si>
    <t>Platelet volume (MPV)</t>
  </si>
  <si>
    <t>Platelet count (PLT) and platelet volume (MPV)</t>
  </si>
  <si>
    <t>ECG (Electrocardiogram measurements), PR interval</t>
  </si>
  <si>
    <t>Glaucoma, primary open-angle</t>
  </si>
  <si>
    <t>ECG (Electrocardiogram measurements), QRS interval</t>
  </si>
  <si>
    <t>ECG (Electrocardiogram measurements), QT interval</t>
  </si>
  <si>
    <t>ECG (Electrocardiogram measurements), RR interval</t>
  </si>
  <si>
    <t>Metabolites, in serum</t>
  </si>
  <si>
    <t>Metabolites, in serum in men</t>
  </si>
  <si>
    <t>Response to treatment in pediatric acute lymphoblastic leukemia</t>
  </si>
  <si>
    <t>Response to treatment and survival on dialysis in T2D patients</t>
  </si>
  <si>
    <t>Hemoglobin levels, fetal hemoglobin levels in adults (HbF) by F cell levels</t>
  </si>
  <si>
    <t>5-HTT serotonin transporter levels, in brain</t>
  </si>
  <si>
    <t>Activated partial thromboplastin time (aPTT), in blood</t>
  </si>
  <si>
    <t>Adiponectin, in serum</t>
  </si>
  <si>
    <t>Adiponectin, in plasma</t>
  </si>
  <si>
    <t>Adiponectin, high molecular weight, in serum</t>
  </si>
  <si>
    <t>Albuminuria, in urine</t>
  </si>
  <si>
    <t>Angiotensin-converting enzyme (ACE) activity, in serum</t>
  </si>
  <si>
    <t>Arterial stiffness</t>
  </si>
  <si>
    <t>Asthma, aspirin-intolerant</t>
  </si>
  <si>
    <t>Biomarkers (natriuretic peptides, vitamin K, vitamin D, CD40L, osteoprotegerin, P-selectin, TNFR2, TNFa, liver function, osteocalcin, CRP, IL6, sICAM, MCP1, myelperoxidase), in plasma or serum</t>
  </si>
  <si>
    <t>Blood cell counts and traits, in red blood cells</t>
  </si>
  <si>
    <t>Blood cell counts and traits, in red and white blood cells</t>
  </si>
  <si>
    <t>Blood phenotypes and cell counts (fibrinogen, FVII, PAI1, vWF, tPA, D-dimer, platelet aggregation, viscosity, hemoglobin, red blood cell counts)</t>
  </si>
  <si>
    <t>Butyrylcholinesterase activity, in serum</t>
  </si>
  <si>
    <t>B-vitamin level (Vitamin B6, Vitamin B12) concentrations, folate and homocysteine, in serum</t>
  </si>
  <si>
    <t>Calcium intake levels and metabolic syndrome</t>
  </si>
  <si>
    <t>Breast cancer and prostate cancer</t>
  </si>
  <si>
    <t>Carboplatin cytotoxicity and gene expression, in blood cell lines</t>
  </si>
  <si>
    <t>Cardiac structure and function measurements (LV mass, internal dimensions, wall size, systolic dysfunction, aortic root size, left atrial size)</t>
  </si>
  <si>
    <t>Biomarkers (liver function, butrylycholinesterase, CRP, ferritin, glucose, HDL cholesterol, insulin, LDL cholesterol, triglycerides, uric acid), body mass index (BMI)</t>
  </si>
  <si>
    <t>Cardiovascular disease adverse events in renal patients treated with calcineurin inhibitors</t>
  </si>
  <si>
    <t>Carotid-femoral pulse wave velocity</t>
  </si>
  <si>
    <t>Coronary heart disease and related risk factors (LDL cholesterol, HDL cholesterol, hypertension, smoking, T2D)</t>
  </si>
  <si>
    <t>Leukemia (childhood acute lymphoblastic leukemia)</t>
  </si>
  <si>
    <t>Asthma (childhood allergic asthma)</t>
  </si>
  <si>
    <t>Asthma (childhood asthma)</t>
  </si>
  <si>
    <t>Leukemia (chronic lymphocytic leukemia)</t>
  </si>
  <si>
    <t>Leukemia (chronic myeloid leukemia)</t>
  </si>
  <si>
    <t>Metabolites and sphingolipids, circulating concentrations</t>
  </si>
  <si>
    <t>Cisplatin cytotoxicity, in blood cell lines</t>
  </si>
  <si>
    <t>Cisplatin cytotoxicity and gene expression, in blood cell lines</t>
  </si>
  <si>
    <t>Cisplatin-induced apoptosis and gene expression in blood cell lines</t>
  </si>
  <si>
    <t>Neuro;Depression;Behavioral;Drug response</t>
  </si>
  <si>
    <t>Congenital;Oral-related</t>
  </si>
  <si>
    <t>Cortical thickness, in brain</t>
  </si>
  <si>
    <t>Cortisol secretion, in saliva</t>
  </si>
  <si>
    <t>C-reactive protein (CRP) levels, in serum</t>
  </si>
  <si>
    <t>Tau biomarkers (Ab1-42, t-tau, p-tau181p), in cerebrospinal fluid (CSF)</t>
  </si>
  <si>
    <t>Skin cancer (cutaneous basal cell carcinoma)</t>
  </si>
  <si>
    <t>Skin cancer (cutaneous melanoma)</t>
  </si>
  <si>
    <t>Skin cancer (cutaneous nevi and melanoma risk)</t>
  </si>
  <si>
    <t>CVD outcomes (CVD, MI, stroke, CHD death, atrial fibrillation, heart failure)</t>
  </si>
  <si>
    <t>CVD risk factors and quantitative traits (blood pressure, heart rate, LDL cholesterol, HDL cholesterol, total cholesterol, triglycerides, glucose, insulin, height, weight, waist circumference)</t>
  </si>
  <si>
    <t>Daunorubicin cytotoxicity and gene expression, in blood cell lines</t>
  </si>
  <si>
    <t>Gastric cancer (diffuse-type gastric cancer)</t>
  </si>
  <si>
    <t>DNA methylation, in blood cell lines</t>
  </si>
  <si>
    <t>ECG (Electrocardiogram measurements), PR interval, QRS interval, QTc interval</t>
  </si>
  <si>
    <t>ECG (Electrocardiogram measurements), PR interval, QRS duration</t>
  </si>
  <si>
    <t>ECG (Electrocardiogram measurements), QT interval, PR interval, RR interval, Heart rate variability</t>
  </si>
  <si>
    <t>EEG measurements, in brain</t>
  </si>
  <si>
    <t>Pulmonary;Emphysema;Chronic lung disease</t>
  </si>
  <si>
    <t>Hypertriglyceridemia</t>
  </si>
  <si>
    <t>Age-related macular degeneration, exudative</t>
  </si>
  <si>
    <t>Social;Behavioral</t>
  </si>
  <si>
    <t>Bone geometry (femoral neck), and appendicular lean mass</t>
  </si>
  <si>
    <t>Bone geometry (femoral neck)</t>
  </si>
  <si>
    <t>Cancer;Blood-related;Blood cancer;Leukemia;Lymphoma</t>
  </si>
  <si>
    <t>Lymphoma (follicular lymphoma)</t>
  </si>
  <si>
    <t>Frontotemporal lobar degeneration with TDP-43 inclusions, in brain</t>
  </si>
  <si>
    <t>FSH levels, anti-Mullerian hormone levels, in serum</t>
  </si>
  <si>
    <t>Gene expression in brain cortex</t>
  </si>
  <si>
    <t>Gene expression in 3 blood cell types, in blood cell lines</t>
  </si>
  <si>
    <t>Gene expression in brain prefrontal cortex</t>
  </si>
  <si>
    <t>Gene expression and DNA methylation in 4 brain regions (pons, cerebellum, frontal cortex, temporal cortex)</t>
  </si>
  <si>
    <t>Gene expression in cultured endothelial cells</t>
  </si>
  <si>
    <t>Gene expression in blood cell lines</t>
  </si>
  <si>
    <t>Gene expression in osteoblasts and blood cell lines</t>
  </si>
  <si>
    <t>Gene expression in basal cell carcinomas</t>
  </si>
  <si>
    <t>Cognitive ability</t>
  </si>
  <si>
    <t>Glucose homeostasis traits (fasting glucose, fasting insulin, HOMA-B, HOMA-IR)</t>
  </si>
  <si>
    <t>Insulin traits (Insulin sensitivity index (ISI), Insulin disposition index (IDI))</t>
  </si>
  <si>
    <t>Hemoglobin (HbA1c, glycated hemoglobin levels)</t>
  </si>
  <si>
    <t>Health and aging, CVD and cancer age of onset</t>
  </si>
  <si>
    <t>Hemoglobin levels, in serum</t>
  </si>
  <si>
    <t>Liver cancer (hepatocellular carcinoma)</t>
  </si>
  <si>
    <t>Liver cancer (hepatocellular carcinoma) in patients with chronic hepatitis B virus infection</t>
  </si>
  <si>
    <t>Neuro;Addiction;Narcotics</t>
  </si>
  <si>
    <t>Neurofibrillary tangles in non-demented elderly subjects, in brain</t>
  </si>
  <si>
    <t>Bone mineral density (hip), in women</t>
  </si>
  <si>
    <t>Osteoporotic fractures (hip)</t>
  </si>
  <si>
    <t>HIV-1, mother to child transmission</t>
  </si>
  <si>
    <t>HIV-1/AIDS progression</t>
  </si>
  <si>
    <t>HIV-1 non-progression</t>
  </si>
  <si>
    <t>HIV-1 viral load at set point</t>
  </si>
  <si>
    <t>HIV-1 acquisition and viral load at set point</t>
  </si>
  <si>
    <t>Lymphoma (Hodgkin's lymphoma)</t>
  </si>
  <si>
    <t>Homocysteine levels, in plasma</t>
  </si>
  <si>
    <t>Iris patterns</t>
  </si>
  <si>
    <t>Interleukin levels (IL18 levels)</t>
  </si>
  <si>
    <t>Interleukin levels (IL10, IL1Ra, IL6), in plasma</t>
  </si>
  <si>
    <t>Lung cancer (interstitial lung disease in gefitinib-treated non-small-cell lung cancer)</t>
  </si>
  <si>
    <t>Arthritis (juvenile idiopathic arthritis)</t>
  </si>
  <si>
    <t>Kidney function and endocrine traits (urinary albumin, creatinine, cystatin-C, thyroid stimulating hormone), in serum and in urine</t>
  </si>
  <si>
    <t>Chronic kidney disease (CKD) and renal traits</t>
  </si>
  <si>
    <t>Osteoarthritis (knee)</t>
  </si>
  <si>
    <t>Left ventricular hypertrophy by electrocardiogram (ECG)</t>
  </si>
  <si>
    <t>Liver enzyme concentrations (alanine aminotransaminase, alkaline phosphatase, gamme-glutamyl transferase), in plasma</t>
  </si>
  <si>
    <t>Longevity and age-related phenotypes (age at menopause, walking speed, biological age)</t>
  </si>
  <si>
    <t>Lung cancer (lung adenocarcinoma)</t>
  </si>
  <si>
    <t>Lung cancer (lung adenocarcinoma stage)</t>
  </si>
  <si>
    <t>Major depression (suicidal thoughts and behavior)</t>
  </si>
  <si>
    <t>Skin cancer (malignant melanoma)</t>
  </si>
  <si>
    <t>Skin cancer (melanoma)</t>
  </si>
  <si>
    <t>Metabolic syndrome (HDL cholesterol, plasma glucose, T2D, waist to hip ratio, diastolic blood pressure)</t>
  </si>
  <si>
    <t>Metabolic syndrome (waist circumference, fasting glucose, HDL cholesterol, triglycerides, blood pressure)</t>
  </si>
  <si>
    <t>Metabolic traits (triglycerides, HDL cholesterol, LDL cholesterol, fasting plasma glucose, albumin, blood urea nitrogen, gamma-glutaryl transpeptidase, alanine aminotransferase, aspartate aminotransferase)</t>
  </si>
  <si>
    <t>Metabolite concentrations, gender-specific, in serum</t>
  </si>
  <si>
    <t>ADHD, methylphenidate treatment response in</t>
  </si>
  <si>
    <t>Monocyte colony-forming units (CFUs)</t>
  </si>
  <si>
    <t>Alzheimer's disease, MRI atrophy as a QTL for</t>
  </si>
  <si>
    <t>Multiple traits (coronary heart disease, T2D, LDL cholesterol, HDL cholesterol)</t>
  </si>
  <si>
    <t>Cancer;Blood-related;Blood cancer;Bone cancer</t>
  </si>
  <si>
    <t>Nephropathy (diabetic nephropathy)</t>
  </si>
  <si>
    <t>Nephropathy (Immunoglobulin A (IgA) nephropathy)</t>
  </si>
  <si>
    <t>N-glycan levels, in plasma</t>
  </si>
  <si>
    <t>Gastric cancer (non-cardia gastric cancer)</t>
  </si>
  <si>
    <t>End-stage renal disease (ESRD), non-diabetic</t>
  </si>
  <si>
    <t>Lung cancer (non-small cell lung cancer)</t>
  </si>
  <si>
    <t>Lymphoma (non-Hodgkin lymphoma)</t>
  </si>
  <si>
    <t>Lypmhoma (nodular sclerosis Hodgkin lymphoma)</t>
  </si>
  <si>
    <t>Obesity-related traits (body mass index (BMI), weight, hip circumference)</t>
  </si>
  <si>
    <t>Obesity-related traits (body mass index (BMI), waist circumference, weight change, height, adiposity)</t>
  </si>
  <si>
    <t>Obesity-related traits (body mass index (BMI), weight)</t>
  </si>
  <si>
    <t>Obesity traits (body mass index (BMI), total fat mass), blood pressure</t>
  </si>
  <si>
    <t>Obesity-related traits (body mass index (BMI), weight, hip circumference, waist circumference, brachial circumference, height)</t>
  </si>
  <si>
    <t>Osteoarthritis (knee), in women</t>
  </si>
  <si>
    <t>Bone-related;Arthritis;Gender;Female</t>
  </si>
  <si>
    <t>Osteoarthritis (knee and hip)</t>
  </si>
  <si>
    <t>Osteoarthritis (hand)</t>
  </si>
  <si>
    <t>Bone-related;Arthritis;Oral-related</t>
  </si>
  <si>
    <t>Drug response;Cancer-related;Pain;Narcotics</t>
  </si>
  <si>
    <t>Leukemia (pediatric acute lymphoblastic leukemia)</t>
  </si>
  <si>
    <t>Inflammation;Bone-related;Oral-related;Dental</t>
  </si>
  <si>
    <t>Adiponectin levels, in plasma</t>
  </si>
  <si>
    <t>Carotenoid and tocopherol levels, in plasma</t>
  </si>
  <si>
    <t>Chemerin levels, in plasma</t>
  </si>
  <si>
    <t>C-reactive protein (CRP) levels, in plasma, in women</t>
  </si>
  <si>
    <t>Fibrinogen levels, in plasma</t>
  </si>
  <si>
    <t>Fibrinogen levels, in plasma, in women</t>
  </si>
  <si>
    <t>Homocysteine levels, in plasma, in women</t>
  </si>
  <si>
    <t>Coagulation factor levels (FVII, FVIII, vWF), in plasma</t>
  </si>
  <si>
    <t>D-dimer levels, in plasma</t>
  </si>
  <si>
    <t>Long chain n-3 polyunsaturated fatty acid levels, in plasma</t>
  </si>
  <si>
    <t>Plasminogen activator inhibitor-1 (PAI1) levels, in plasma</t>
  </si>
  <si>
    <t>Polyunsaturated fatty acid levels, in plasma</t>
  </si>
  <si>
    <t>Protein-C levels, in plasma</t>
  </si>
  <si>
    <t>Soluble ICAM1 (sICAM) levels, in plasma, in women</t>
  </si>
  <si>
    <t>Soluble leptin receptor (sOB-R) levels, in plasma</t>
  </si>
  <si>
    <t>Vitamin B12 levels, in plasma, in women</t>
  </si>
  <si>
    <t>Bone-related traits (pleiotropy in bone mineral density (BMD), bone geometry, muscle mass, bone quantitative ultrasound)</t>
  </si>
  <si>
    <t>Ovarian failure (premature ovarian failure)</t>
  </si>
  <si>
    <t>Bone-related;Oral-related;Developmental;Dental</t>
  </si>
  <si>
    <t>Primary nonsyndromic vesicoureteric reflex</t>
  </si>
  <si>
    <t>Creutzfeldt-Jakob disease and other prion disease variants</t>
  </si>
  <si>
    <t>Progranulin levels, in plasma</t>
  </si>
  <si>
    <t>Prostate cancer and Type II Diabetes Mellitus</t>
  </si>
  <si>
    <t>Protein C levels and protein S levels, in plasma</t>
  </si>
  <si>
    <t>Protein quantitative traits (42 protein levels in fasting serum and plasma: including C-reactive protein (CRP), IL6R, IL18, Lipoprotein A (LPA), GGT, IL1RN, TNFa, adiponectin, albumin, alkaline phosphatase, fibrinogen, ferritin, hemoglobin, insulin, leptin, SHBG, transferrin, thyroid stimulating hormone, MCP1)</t>
  </si>
  <si>
    <t>Height, pubertal growth in</t>
  </si>
  <si>
    <t>Blood pressure, CVD RF and other traits (body mass index (BMI), waist:hip ratio, renin activity in plasma, aldosterone concentration in plasma, BNP levels in plasma, alcohol consumption)</t>
  </si>
  <si>
    <t>Lipid measurements and other quantitative traits (in serum: sodium, potassium, chloride, urea, creatinine, calcium, albumin, GGT, glucose, urate, total cholesterol, LDL cholesterol, HDL cholesterol, triglycerides; in urine: sodium, potassium, creatinine, albumin)</t>
  </si>
  <si>
    <t>Blood cell counts and other traits (platelet count (PLT), red cell count, white cell count, hemoglobin, urate, GGT, alkaline phosphatase, AST, ALT, creatinine kinase, total protein, albumin, blood urea nitrogen, serum creatinine, HDL cholesterol, triglycerides)</t>
  </si>
  <si>
    <t>Radiation-induced damage on blood cell lines</t>
  </si>
  <si>
    <t>Blood pressure, CVD RF and other traits (body mass index (BMI), waist:hip ratio, pulse rate, bone mineral density (BMD))</t>
  </si>
  <si>
    <t>Thyroid cancer, radiation-related</t>
  </si>
  <si>
    <t>Blood pressure, CVD RF and other traits (body mass index (BMI), height, waist circumference, weight, leptin, percent body fat, HDL cholesterol, LDL cholesterol, total cholesterol, triglycerides, fasting glucose, thyroid stimulating hormone, C-reactive protein (CRP))</t>
  </si>
  <si>
    <t>Ulcerative colitis, refractory</t>
  </si>
  <si>
    <t>Response to gemcitabine or arabinosylcytosin in blood cell lines</t>
  </si>
  <si>
    <t>Response to platinum-based chemotherapy in small-cell lung cancer</t>
  </si>
  <si>
    <t>Treatment response;Cancer-related;Blood-related;Blood cancer;Leukemia</t>
  </si>
  <si>
    <t>Response to antipsychotics</t>
  </si>
  <si>
    <t>Restenosis after percutaneous coronary intervention (PCI)</t>
  </si>
  <si>
    <t>Gender;Female;Reproductive;Musculoskeletal;Muscle-related</t>
  </si>
  <si>
    <t>Response to antidepressants (escitaloprim, nortriptyline)</t>
  </si>
  <si>
    <t>Response to pegylated interferon-alpha and ribavirin treatment in chronic hepatitis C</t>
  </si>
  <si>
    <t>Response to statin treatment (simvastatin, pravastatin, atorvastatin), change in cholesterol levels</t>
  </si>
  <si>
    <t>Response to statin treatment (atorvastatin), change in cholesterol levels</t>
  </si>
  <si>
    <t>Response to statins (simvastatin, lovastatin) in NCI60 cancer cell lines</t>
  </si>
  <si>
    <t>Response to thiazide diuretic (hydrochlorothiazide)</t>
  </si>
  <si>
    <t>Response to treatment (fludarabine, chlorambucil, combination) in chronic lymphocytic leukemia</t>
  </si>
  <si>
    <t>Treatment response;Oral-related;Pain;Surgery;Dental</t>
  </si>
  <si>
    <t>Response to treatment with analgesics (midazolam, lidocaine)</t>
  </si>
  <si>
    <t>Response to antipsychotics (olanzapine, quetiapine, risperidone, ziprasidone, perhpenazine)</t>
  </si>
  <si>
    <t>Statin-induced (cerivastatin) rhabdomyolysis</t>
  </si>
  <si>
    <t>Anemia, ribavirin-induced in hepatitis C treatment</t>
  </si>
  <si>
    <t>Schizophrenia, bipolar disorder and depression</t>
  </si>
  <si>
    <t>IgA deficiency (selective IgA deficiency)</t>
  </si>
  <si>
    <t>General health</t>
  </si>
  <si>
    <t>Systemic lupus erythematosus, serologic and cytokine (interferon gamma) profiles in serum in</t>
  </si>
  <si>
    <t>Skin cancer (cutaneous basal cell carcinoma and squamous cell carcinoma)</t>
  </si>
  <si>
    <t>Soluble E-selectin levels, in plasma, in women</t>
  </si>
  <si>
    <t>Ferritin and soluble transferrin receptor levels, in serum</t>
  </si>
  <si>
    <t>Soluble ICAM-1 levels, in women</t>
  </si>
  <si>
    <t>Soluble P-selectin levels and soluble ICAM-1 levles</t>
  </si>
  <si>
    <t>Esophageal cancer (esophageal squamous cell carcinoma)</t>
  </si>
  <si>
    <t>Cancer;Skin-related;Esophageal cancer</t>
  </si>
  <si>
    <t>Subclinical atherosclerosis (coronary artery calcium, abdominal artery calcium, ankle-brachial index, carotid intimal media thickness)</t>
  </si>
  <si>
    <t>Suicidal ideation with antidepressant (escitaloprim, nortriptyline) treatment</t>
  </si>
  <si>
    <t>Suicide attempts in bipolar disorder patients</t>
  </si>
  <si>
    <t>Lung cancer, survival in advanced non-small cell lung cancer with carboplatin and paclitaxel treatment</t>
  </si>
  <si>
    <t>Lung cancer, survival in non-small cell lung carcinoma with platinum-based chemotherapy</t>
  </si>
  <si>
    <t>Tau protein levels, in cerebrospinal fluid (CSF)</t>
  </si>
  <si>
    <t>Leukemia, T-cell recognition in patients</t>
  </si>
  <si>
    <t>Thyrotropin and thyroid function, in serum</t>
  </si>
  <si>
    <t>Transferrin glycosylation, in serum</t>
  </si>
  <si>
    <t>Triglycerides levels, in serum, in men</t>
  </si>
  <si>
    <t>Type II Diabetes Mellitus and gene expression in muscle and adipose tissue</t>
  </si>
  <si>
    <t>Doring A</t>
  </si>
  <si>
    <t>Vitart V</t>
  </si>
  <si>
    <t>Metabolites, in urine</t>
  </si>
  <si>
    <t>Vascular endothelial growth factor (VEGF) levels, in serum</t>
  </si>
  <si>
    <t>Waist:hip ratio</t>
  </si>
  <si>
    <t>Warfarin dose (acenocoumarol)</t>
  </si>
  <si>
    <t>Warfarin responsiveness (phenprocoumon)</t>
  </si>
  <si>
    <t>Multiple traits (eye color, freckles, hair color, hair curl, asparagus anosmia, photic sneeze reflex, handedness, footedness, attached earlobes, dental work, myopia, taste preference, motion sickness, astigmatism)</t>
  </si>
  <si>
    <t>Skin-related;Eye-related;Hair;Oral-related;Nasal;Behavioral;Sleep;Diet-related;Dental;Developmental</t>
  </si>
  <si>
    <t xml:space="preserve">Age-related macular degeneration (AMD), wet neovascular </t>
  </si>
  <si>
    <t>Blood cell counts, in white cells</t>
  </si>
  <si>
    <t>Blood cell counts, in white cells in leukemia patients in remission</t>
  </si>
  <si>
    <t>Bone mineral density (BMD) (wrist)</t>
  </si>
  <si>
    <t>Acetaminophen toxicity in blood cell lines</t>
  </si>
  <si>
    <t>Drug response;Platelet;Cell line</t>
  </si>
  <si>
    <t>Asparaginase sensitivity in blood cell lines</t>
  </si>
  <si>
    <t>Drug response;Cancer-related;Cell line</t>
  </si>
  <si>
    <t>Autism, monoallelic expression in blood cell lines</t>
  </si>
  <si>
    <t>Chemotherapeutic response (cytabarine, 5'deoxyfluorouridine, carboplatin, cisplatin), in blood cell lines</t>
  </si>
  <si>
    <t>Treatment response;Cancer-related;Blood-related;Cell line</t>
  </si>
  <si>
    <t>Cisplatin and carboplatin cytotoxicity, in blood cell lines</t>
  </si>
  <si>
    <t>Minor histocompatibility antigenicity in blood cell lines</t>
  </si>
  <si>
    <t>Treatment response;Cytotoxicity;Cancer-related;Cell line</t>
  </si>
  <si>
    <t>Selenium resistance in NCI60 cancer cell lines</t>
  </si>
  <si>
    <t>Fasting glucose, in plasma</t>
  </si>
  <si>
    <t>Fasting triglycerides, in plasma</t>
  </si>
  <si>
    <t>HDL cholesterol and triglyceride levels, in plasma</t>
  </si>
  <si>
    <t>Lipid level measurements, in plasma</t>
  </si>
  <si>
    <t>Lipoprotein A [Lp(a)] levels, in plasma</t>
  </si>
  <si>
    <t>Not indexed (World J Biol Psych DOI: 10.3109/15622975.2011.559272)</t>
  </si>
  <si>
    <t>Association of intronic sequence variant in the gene encoding spleen tyrosine kinase with susceptibility to vascular dementia</t>
  </si>
  <si>
    <t>Hallym, Korea</t>
  </si>
  <si>
    <t>84 Korean cases + 200 controls</t>
  </si>
  <si>
    <t>Affymetrix [300640]</t>
  </si>
  <si>
    <t>207 Korean cases, 455 controls</t>
  </si>
  <si>
    <t>vWF levels, in plasma</t>
  </si>
  <si>
    <t>Gene expression of microRNA (miRNA) in abdominal and gluteal adipose</t>
  </si>
  <si>
    <t>Gene expression of microRNA (miRNA) in blood cell lines</t>
  </si>
  <si>
    <t>Gene expression of microRNA (miRNA) in fibroblasts</t>
  </si>
  <si>
    <t>Autism, gender differences</t>
  </si>
  <si>
    <t>Neuro;Behavioral;Autism;Gender;Male;Female</t>
  </si>
  <si>
    <t>Bone-related;Arthritis;Gender;Male;Female</t>
  </si>
  <si>
    <t>115 AA HIV-negative women</t>
  </si>
  <si>
    <t>Includes male/female only analyses in discovery and/or replication?</t>
  </si>
  <si>
    <t>Eye-related;Skin-related;Hair;Gender;Male;Female</t>
  </si>
  <si>
    <t>Neuro;Behavioral;Schizophrenia;Gender;Male;Female</t>
  </si>
  <si>
    <t>Skin-related;Gender;Male;Female</t>
  </si>
  <si>
    <t>408 EA (Amish) women, 460 men</t>
  </si>
  <si>
    <t>unknown</t>
  </si>
  <si>
    <t>Bone mineral density (BMD), in women</t>
  </si>
  <si>
    <t>Bone mineral density (BMD), cortical density, in men</t>
  </si>
  <si>
    <t>Bone mineral traits, uni and bivariate analyses, in men</t>
  </si>
  <si>
    <t>Exclusively male or female study?</t>
  </si>
  <si>
    <t>Breast cancer, lapatinib-induced hepatotoxicity in</t>
  </si>
  <si>
    <t>1887 Icelandic men, 1702 Icelandic women</t>
  </si>
  <si>
    <t>1248 Icelandic men, 1663 Icelandic women</t>
  </si>
  <si>
    <t>Congenital;Reproductive;Gender;Male</t>
  </si>
  <si>
    <t>Multiple sclerosis, glutamate concentrations in brains in</t>
  </si>
  <si>
    <t>Gene expression in skin cells, adipose and blood cell lines, in women</t>
  </si>
  <si>
    <t>Fibrinogen (gamma fibrinogen)</t>
  </si>
  <si>
    <t>Breast cancer, ER negative</t>
  </si>
  <si>
    <t>Reproductive;Gender;Female</t>
  </si>
  <si>
    <t>Drug response to interferon-beta therapy in multiple sclerosis (MS)</t>
  </si>
  <si>
    <t>Colorectal cancer (drug response in metastatic colorectal cancer)</t>
  </si>
  <si>
    <t>Bilirubin levels, in serum, unconjugated</t>
  </si>
  <si>
    <t>Ankle-brachial index (ABI)</t>
  </si>
  <si>
    <t>Amygdala activation, in youths, with and without bipolar disorder</t>
  </si>
  <si>
    <t>Breast cancer, adverse effects to aromatase inhibitors</t>
  </si>
  <si>
    <t>Drug response;Pulmonary</t>
  </si>
  <si>
    <t>Leukemia (acute lymphoblastic leukemia) (ALL)</t>
  </si>
  <si>
    <t>Leukemia (childhood acute lymphoblastic leukemia) (ALL)</t>
  </si>
  <si>
    <t>Adolescent idiopathic scoliosis, in women</t>
  </si>
  <si>
    <t>Developmental;Musculoskeletal</t>
  </si>
  <si>
    <t>Developmental;Musculoskeletal;Gender;Female</t>
  </si>
  <si>
    <t>Hearing impairment, age-related</t>
  </si>
  <si>
    <t>1033 EA cases (mostly women), 3773 EA pediatric controls</t>
  </si>
  <si>
    <t>Neuro;Behavioral;Depression;Drug response</t>
  </si>
  <si>
    <t>Suicidal ideation with antidepressant treatment</t>
  </si>
  <si>
    <t>Tremors, antipsychotic-induced</t>
  </si>
  <si>
    <t>Parkinsonism in schizophrenia patients, antipsychotic-induced</t>
  </si>
  <si>
    <t xml:space="preserve">Rheumatoid arthritis, anti-TNF response in </t>
  </si>
  <si>
    <t>Asthma;Pulmonary;Chronic lung disease;Inflammation</t>
  </si>
  <si>
    <t>Asthma;Pulmonary;Chronic lung disease;Developmental;Inflammation</t>
  </si>
  <si>
    <t>Drug response;Asthma;Pulmonary;Chronic lung disease;Inflammation;Platelet</t>
  </si>
  <si>
    <t>Drug response;Asthma;Pulmonary;Chronic lung disease;Inflammation</t>
  </si>
  <si>
    <t>Atopy, with and without asthma</t>
  </si>
  <si>
    <t>Allergy;Inflammation;Asthma;Pulmonary;Chronic lung disease;Inflammation</t>
  </si>
  <si>
    <t>Skin cancer (basal cell carcinoma)</t>
  </si>
  <si>
    <t>Leukemia (B-cell chronic lymphocytic leukemia)</t>
  </si>
  <si>
    <t>Neuro;Behavioral;Gender;Female;Diet-related</t>
  </si>
  <si>
    <t>Type I Diabetes, autoantibody positivity in</t>
  </si>
  <si>
    <t>Cancer-related;Drug response</t>
  </si>
  <si>
    <t>Bleomycin sensitivity, in blood samples</t>
  </si>
  <si>
    <t>Gene expression in introns and nonsense-mediated decay in blood cell lines</t>
  </si>
  <si>
    <t>DNA methylation (allele-specific methylation), in blood cell lines</t>
  </si>
  <si>
    <t>Blood cell traits (red blood cell count, hemoglobin, hematocrit)</t>
  </si>
  <si>
    <t>Cancer;Breast cancer;Prostate cancer;Gender;Male;Female;Reproductive</t>
  </si>
  <si>
    <t>Dental;Developmental;Bone-related;Oral-related</t>
  </si>
  <si>
    <t>Response to citalopram in major depressive disorder</t>
  </si>
  <si>
    <t>Response to clopidogrel (anti-platelet), variation in</t>
  </si>
  <si>
    <t>Neuro;Addiction;Diet-related</t>
  </si>
  <si>
    <t>Colorectal cancer, severe oxaliplatin-induced chronic peripheral neuropathy in</t>
  </si>
  <si>
    <t>Pulmonary;Chronic lung disease;Cystic fibrosis</t>
  </si>
  <si>
    <t>ECG (Electrocardiogram measurements), QT interval prolongation with antipsychotic treatment</t>
  </si>
  <si>
    <t>Dental;Oral-related;Developmental;Bone-related;Gender;Male;Female</t>
  </si>
  <si>
    <t>Epirubicin-induced leukopenia in cancer patients</t>
  </si>
  <si>
    <t>Neuro;Movement-related</t>
  </si>
  <si>
    <t>Etoposide cytotoxicity and gene expression in blood cell lines</t>
  </si>
  <si>
    <t>Behavioral;Physical activity</t>
  </si>
  <si>
    <t>Liver cancer (hepatocellular carcinoma), progresstion to with chronic viral hepatitis</t>
  </si>
  <si>
    <t xml:space="preserve">Lung cancer (non-small cell lung cancer), hypertriglyceridemia with bexarotene treatment of </t>
  </si>
  <si>
    <t>Treatment response;Cancer-related;Lung cancer;Pulmonary;Lipids</t>
  </si>
  <si>
    <t>Hypothyroidism and thyroid conditions</t>
  </si>
  <si>
    <t>Effectiveness of iloperidone treatment in schizophrenia</t>
  </si>
  <si>
    <t>ECG (Electrocardiogram measurements), QT interval change with iloperidone treatment in schizophrenia</t>
  </si>
  <si>
    <t>Cognition (information processing speed)</t>
  </si>
  <si>
    <t>Cognition (intelligence)</t>
  </si>
  <si>
    <t>Inflammation;Blood-related;Aneurysm;Arterial</t>
  </si>
  <si>
    <t>Left ventricular (LV) wall thickness</t>
  </si>
  <si>
    <t>Cancer;Lung cancer;Pulmonary;Mortality;Drug response</t>
  </si>
  <si>
    <t>Cancer;Lung cancer;Pulmonary;Drug response</t>
  </si>
  <si>
    <t>Cancer;Lung cancer;Pulmonary;Gender;Female</t>
  </si>
  <si>
    <t>Cystic fibrosis, lung disease in</t>
  </si>
  <si>
    <t>Lymphoma (diffuse large B-cell lymphoma)</t>
  </si>
  <si>
    <t>Cognition (mathematical ability)</t>
  </si>
  <si>
    <t>Cognition, memory (episodic memory)</t>
  </si>
  <si>
    <t>Cognition, memory (short term memory)</t>
  </si>
  <si>
    <t>Cognition, memory (memory task performance)</t>
  </si>
  <si>
    <t>Multiple traits (bipolar disorder, coronary artery disease, Crohn's disease, rheumatoid arthritis, T1D, T2D, hypertension)</t>
  </si>
  <si>
    <t>Multiple traits (lipids, glucose, obesity, blood pressure)</t>
  </si>
  <si>
    <t>Multiple traits (Alzheimer's disease, progressive supranuclear palsy, sudden infant death with dysgenesis of the testes syndrome)</t>
  </si>
  <si>
    <t>Cancer;Nasal cancer;Nasal</t>
  </si>
  <si>
    <t>Lupus (neonatal lupus)</t>
  </si>
  <si>
    <t>Blood cell count (neutrophil count)</t>
  </si>
  <si>
    <t>Antipsychotic-induced tardive dyskinesia</t>
  </si>
  <si>
    <t>Cleft lip (nonsyndromic cleft lip with or without cleft palate)</t>
  </si>
  <si>
    <t>Cleft palate (nonsyndromic cleft palate)</t>
  </si>
  <si>
    <t>Pancreatic cancer, survival with gemcitabine treatment</t>
  </si>
  <si>
    <t>Epilepsy (partial epilepsy)</t>
  </si>
  <si>
    <t>IgE (total IgE) concentrations, plasma</t>
  </si>
  <si>
    <t>Renal;Urinary</t>
  </si>
  <si>
    <t>Lung function phenotypes</t>
  </si>
  <si>
    <t>Cancer;Skin cancer;Skin-related;Melanoma;Gender;Male;Female</t>
  </si>
  <si>
    <t>Chronic obstructive pulmonary disease (COPD), smoking behavior in</t>
  </si>
  <si>
    <t>Nicotine dependence and smoking initiation</t>
  </si>
  <si>
    <t>Personality (temperament scales)</t>
  </si>
  <si>
    <t>Cancer;Uterine cancer;Uterine fibroids;Reproductive;Gender;Female</t>
  </si>
  <si>
    <t>Stolk L</t>
  </si>
  <si>
    <t>Nolte IM</t>
  </si>
  <si>
    <t>Knauff EA</t>
  </si>
  <si>
    <t>Infection;Hepatic;Hepatitis;Blood-related</t>
  </si>
  <si>
    <t>Infection;Cancer-related;Blood-related</t>
  </si>
  <si>
    <t>Infection;Pulmonary;Tuberculosis</t>
  </si>
  <si>
    <t>Neuro;Alzheimer's disease;Behavioral</t>
  </si>
  <si>
    <t>Neuro;Alzheimer's disease;Movement-related;Congenital;Mortality</t>
  </si>
  <si>
    <t>Neuro;Alzheimer's disease</t>
  </si>
  <si>
    <t>Neuro;Behavioral;Attention-deficit/hyperactivity disorder (ADHD)</t>
  </si>
  <si>
    <t>Drug response;Neuro;Behavioral;Attention-deficit/hyperactivity disorder (ADHD)</t>
  </si>
  <si>
    <t>Drug response;Infection;Hepatitis;Hepatic;Blood-related;Adverse drug reaction (ADR);Anemia</t>
  </si>
  <si>
    <t>Drug response;Adverse drug reaction (ADR);Cancer;Breast cancer;Gender;Female</t>
  </si>
  <si>
    <t>Cancer;Breast cancer;Drug response;Adverse drug reaction (ADR);Hepatic;Gender;Female</t>
  </si>
  <si>
    <t>Neuro;Cognition;Drug response;Adverse drug reaction (ADR);Epilepsy</t>
  </si>
  <si>
    <t>Cancer;Colorectal cancer;Drug response;Adverse drug reaction (ADR);Gastrointestinal</t>
  </si>
  <si>
    <t>Drug response;Adverse drug reaction (ADR);Hepatic</t>
  </si>
  <si>
    <t>Cancer;Cancer-related;Treatment-related;Adverse drug reaction (ADR);Blood-related;Breast cancer;Liver cancer;Hepatic;Endometrial cancer</t>
  </si>
  <si>
    <t>Drug response;Hepatic;Adverse drug reaction (ADR);Arthritis</t>
  </si>
  <si>
    <t>Treatment response;Adverse drug reaction (ADR);Cancer;Renal;Kidney cancer;Cell line</t>
  </si>
  <si>
    <t>Drug response;Adverse drug reaction (ADR);Inflammation;Skin-related</t>
  </si>
  <si>
    <t>Drug response;Asthma;Inflammation;Pulmonary;Chronic lung disease;Adverse drug reaction (ADR)</t>
  </si>
  <si>
    <t>Neuro;Depression;Drug response;Adverse drug reaction (ADR)</t>
  </si>
  <si>
    <t>Treatment response;Surgery;Adverse drug reaction (ADR)</t>
  </si>
  <si>
    <t>Neuro;Amyotrophic lateral sclerosis (ALS)</t>
  </si>
  <si>
    <t>Eye-related;Aging;Age-related macular degeneration (ARMD)</t>
  </si>
  <si>
    <t>Neuro;Bipolar disorder;Developmental</t>
  </si>
  <si>
    <t>Neuro;Behavioral;Bipolar disorder</t>
  </si>
  <si>
    <t>Neuro;Behavioral;Schizophrenia;Bipolar disorder</t>
  </si>
  <si>
    <t>Drug response;Bipolar disorder;Epilepsy;Adverse drug reaction (ADR)</t>
  </si>
  <si>
    <t>Neuro;Cognition;Behavioral;Schizophrenia;Bipolar disorder</t>
  </si>
  <si>
    <t>Neuro;Mood disorder;Depression;Bipolar disorder</t>
  </si>
  <si>
    <t>Drug response;Neuro;Bipolar disorder</t>
  </si>
  <si>
    <t>Neuro;Behavioral;Schizophrenia;Depression;Bipolar disorder</t>
  </si>
  <si>
    <t>Drug response;Neuro;Behavioral;Bipolar disorder</t>
  </si>
  <si>
    <t>Pulmonary;Chronic lung disease;Chronic obstructive pulmonary disease (COPD)</t>
  </si>
  <si>
    <t>Pulmonary;Chronic obstructive pulmonary disease (COPD);Chronic lung disease;Smoking;Addiction;Behavioral</t>
  </si>
  <si>
    <t>Drug response;Depression;Neuro;Weight;CVD risk factor (CVD RF);Adverse drug reaction (ADR)</t>
  </si>
  <si>
    <t>Neuro;Addiction;Smoking;CVD risk factor (CVD RF)</t>
  </si>
  <si>
    <t>Blood pressure;Weight;Body mass index;CVD risk factor (CVD RF)</t>
  </si>
  <si>
    <t>Drug response;CVD risk factor (CVD RF);Blood pressure;Renal</t>
  </si>
  <si>
    <t>Drug response;CVD risk factor (CVD RF);Lipids;Adverse drug reaction (ADR);Muscle-related</t>
  </si>
  <si>
    <t>CVD risk factor (CVD RF);Lipids</t>
  </si>
  <si>
    <t>CVD risk factor (CVD RF);Lipids;Plasma</t>
  </si>
  <si>
    <t>CVD risk factor (CVD RF);Lipids;Plasma;Gender;Male;Female</t>
  </si>
  <si>
    <t>CVD risk factor (CVD RF);Cardiovascular disease (CVD);Arterial;Calcium;Subclinical CVD</t>
  </si>
  <si>
    <t>Drug response;Cardiovascular disease (CVD);Blood-related;Adverse drug reaction (ADR)</t>
  </si>
  <si>
    <t>CVD risk factor (CVD RF);Lipids;Cardiovascular disease (CVD);Arterial;Calcium</t>
  </si>
  <si>
    <t>Treatment response;Surgery;Cardiovascular disease (CVD);Arterial;Heart</t>
  </si>
  <si>
    <t>Cardiovascular disease (CVD);Atrial fibrillation;Heart</t>
  </si>
  <si>
    <t>Cardiovascular disease (CVD);Heart</t>
  </si>
  <si>
    <t>Cardiovascular disease (CVD);Heart;Cardiomyopathy</t>
  </si>
  <si>
    <t>Cardiovascular disease (CVD);Neuro;Stroke</t>
  </si>
  <si>
    <t>Cardiovascular disease (CVD);Stroke;Platelet;Venous;Thrombosis</t>
  </si>
  <si>
    <t>Infection;HIV/AIDS;Blood-related</t>
  </si>
  <si>
    <t>Infection;HIV/AIDS;Drug response;Blood-related</t>
  </si>
  <si>
    <t>Infection;HIV/AIDS;Drug response;Mortality;Blood-related</t>
  </si>
  <si>
    <t>Infection;HIV/AIDS;Gender;Female;Blood-related</t>
  </si>
  <si>
    <t>Infection;HIV/AIDS;Drug response;Adverse drug reaction (ADR);Skin-related</t>
  </si>
  <si>
    <t>Cardiovascular disease (CVD);Heart;Heart failure;Mortality</t>
  </si>
  <si>
    <t>Cardiovascular disease (CVD);Heart;Heart failure</t>
  </si>
  <si>
    <t>Pulmonary;Asthma;Immune-related;Developmental</t>
  </si>
  <si>
    <t>Immune-related;Drug response;Hepatitis;Infection;Hepatic</t>
  </si>
  <si>
    <t>Cancer-related;Blood-related;Immune-related;Blood cancer;Leukemia;Cell line</t>
  </si>
  <si>
    <t>Drug response;Neuro;Inflammation;Multiple sclerosis (MS)</t>
  </si>
  <si>
    <t>Cardiovascular disease (CVD);Myocardial infarction (MI);Mortality;Stroke;Gender;Female</t>
  </si>
  <si>
    <t>Myocardial infarction (MI);Cardiovascular disease (CVD);CVD risk factor (CVD RF)</t>
  </si>
  <si>
    <t>Cardiovascular disease (CVD);Myocardial infarction (MI);Coronary heart disease (CHD)</t>
  </si>
  <si>
    <t>Cardiovascular disease (CVD);Myocardial infarction (MI);Gender;Female</t>
  </si>
  <si>
    <t>Cardiovascular disease (CVD);Myocardial infarction (MI);Mortality;Stroke;Atrial fibrillation;Heart;Heart failure</t>
  </si>
  <si>
    <t>Cardiovascular disease (CVD);Myocardial infarction (MI);Mortality;Cancer</t>
  </si>
  <si>
    <t>Cardiovascular disease (CVD);Myocardial infarction (MI);Treatment response;Surgery</t>
  </si>
  <si>
    <t>Cardiovascular disease (CVD);Myocardial infarction (MI);Mortality</t>
  </si>
  <si>
    <t>Cardiovascular disease (CVD);Myocardial infarction (MI);Mortality;Heart</t>
  </si>
  <si>
    <t>Cardiovascular disease (CVD);Myocardial infarction (MI)</t>
  </si>
  <si>
    <t>Neuro;Parkinson's disease;Developmental</t>
  </si>
  <si>
    <t>Drug response;Neuro;Schizophrenia;Adverse drug reaction (ADR);Movement-related;Parkinson's disease</t>
  </si>
  <si>
    <t>Neuro;Parkinson's disease</t>
  </si>
  <si>
    <t>Drug response;Neuro;Adverse drug reaction (ADR);Behavioral;Manic depression;Movement-related;Parkinson's disease</t>
  </si>
  <si>
    <t>Quantitative trait(s);Cardiovascular disease (CVD);Arterial;Aneurysm</t>
  </si>
  <si>
    <t>Quantitative trait(s);Blood-related;Thrombosis</t>
  </si>
  <si>
    <t>Quantitative trait(s);Neuro;Addiction;Alcohol;Smoking;Narcotics;Gender;Male;Female</t>
  </si>
  <si>
    <t>Quantitative trait(s);Adipose-related;Serum</t>
  </si>
  <si>
    <t>Quantitative trait(s);Adipose-related;Gender;Female;Male</t>
  </si>
  <si>
    <t>Quantitative trait(s);Blood-related;Plasma</t>
  </si>
  <si>
    <t>Quantitative trait(s);Adipose-related;Blood-related;Serum</t>
  </si>
  <si>
    <t>Quantitative trait(s);Adipose-related;Blood-related;Plasma</t>
  </si>
  <si>
    <t>Quantitative trait(s);Weight;CVD risk factor (CVD RF);Adipose-related</t>
  </si>
  <si>
    <t>Quantitative trait(s);Renal;Urinary</t>
  </si>
  <si>
    <t>Quantitative trait(s);Neuro;Addiction;Alcohol</t>
  </si>
  <si>
    <t>Quantitative trait(s);Neuro;Addiction;Alcohol;Gender;Male</t>
  </si>
  <si>
    <t>Quantitative trait(s);Neuro;Addiction;Alcohol;Bipolar disorder</t>
  </si>
  <si>
    <t>Quantitative trait(s);Neuro;Alzheimer's disease</t>
  </si>
  <si>
    <t>Quantitative trait(s);Blood-related;Serum</t>
  </si>
  <si>
    <t>Quantitative trait(s);Cardiovascular disease (CVD);CVD risk factor (CVD RF);Subclinical CVD</t>
  </si>
  <si>
    <t>Quantitative trait(s);Cardiovascular disease (CVD);Heart;Subclinical CVD</t>
  </si>
  <si>
    <t>Quantitative trait(s);Cardiovascular disease (CVD);Arterial;Subclinical CVD</t>
  </si>
  <si>
    <t>Quantitative trait(s);Blood-related;Hepatic;Serum</t>
  </si>
  <si>
    <t>Quantitative trait(s);Blood-related;Immune-related</t>
  </si>
  <si>
    <t>Quantitative trait(s);Blood-related;Platelet;Hepatic;Renal;CVD risk factor (CVD RF);Lipids;Plasma;Serum;Urinary</t>
  </si>
  <si>
    <t>Quantitative trait(s);Blood-related;Platelet</t>
  </si>
  <si>
    <t>Quantitative trait(s);Blood-related</t>
  </si>
  <si>
    <t>Quantitative trait(s);Blood-related;Immune-related;Cancer;Cancer-related;Blood cancer;Leukemia</t>
  </si>
  <si>
    <t>Quantitative trait(s);Blood-related;Platelet;Thrombosis</t>
  </si>
  <si>
    <t>Quantitative trait(s);Blood pressure;CVD risk factor (CVD RF)</t>
  </si>
  <si>
    <t>Quantitative trait(s);Blood pressure;CVD risk factor (CVD RF);Arterial;Subclinical CVD</t>
  </si>
  <si>
    <t>Quantitative trait(s);Blood pressure;CVD risk factor (CVD RF);Drug response</t>
  </si>
  <si>
    <t>Quantitative trait(s);CVD risk factor (CVD RF);Weight;Body mass index;Height;Weight;Adipose-related;Lipids;Blood pressure;Blood-related;Thyroid;Inflammation;C-reactive protein (CRP);Plasma</t>
  </si>
  <si>
    <t>Quantitative trait(s);CVD risk factor (CVD RF);Blood pressure;Blood-related;Body mass index;Height;Weight;Heart rate;Bone-related</t>
  </si>
  <si>
    <t>Quantitative trait(s);Blood pressure;Blood-related;CVD risk factor (CVD RF);Body mass index;Weight;Addiction;Plasma</t>
  </si>
  <si>
    <t>Quantitative trait(s);Weight;CVD risk factor (CVD RF);Body mass index;Adipose-related</t>
  </si>
  <si>
    <t>Quantitative trait(s);Weight;CVD risk factor (CVD RF);Body mass index</t>
  </si>
  <si>
    <t>Quantitative trait(s);Weight;CVD risk factor (CVD RF);Body mass index;Gender;Female</t>
  </si>
  <si>
    <t>Quantitative trait(s);Bone-related;Aging</t>
  </si>
  <si>
    <t>Quantitative trait(s);Bone-related;Aging;Musculoskeletal;Muscle-related</t>
  </si>
  <si>
    <t>Quantitative trait(s);Bone-related;Aging;Gender;Female</t>
  </si>
  <si>
    <t>Quantitative trait(s);Bone-related;Aging;Gender;Male;Female</t>
  </si>
  <si>
    <t>Quantitative trait(s);Bone-related;Aging;Gender;Male</t>
  </si>
  <si>
    <t>Quantitative trait(s);Blood-related;Neuro;Serum</t>
  </si>
  <si>
    <t>Quantitative trait(s);Neuro</t>
  </si>
  <si>
    <t>Quantitative trait(s);Serum;Blood-related</t>
  </si>
  <si>
    <t>Drug response;Cancer;Quantitative trait(s);Weight</t>
  </si>
  <si>
    <t>Quantitative trait(s);Weight;CVD risk factor (CVD RF);T2D-related;Calcium;Diet-related</t>
  </si>
  <si>
    <t>Quantitative trait(s);Blood-related;Bone-related;Serum</t>
  </si>
  <si>
    <t>Quantitative trait(s);Cardiovascular disease (CVD);Heart</t>
  </si>
  <si>
    <t>Cardiovascular disease (CVD);HIV/AIDS;Infection;Quantitative trait(s);Gender;Male;Arterial;Subclinical CVD</t>
  </si>
  <si>
    <t>Quantitative trait(s);CVD risk factor (CVD RF);Arterial;Subclinical CVD</t>
  </si>
  <si>
    <t>Quantitative trait(s);Blood-related;Arterial;Cardiovascular disease (CVD);Subclinical CVD</t>
  </si>
  <si>
    <t>Quantitative trait(s);Blood-related;Inflammation;Serum</t>
  </si>
  <si>
    <t>Quantitative trait(s);Neuro;Cognition;Schizophrenia</t>
  </si>
  <si>
    <t>Quantitative trait(s);Eye-related</t>
  </si>
  <si>
    <t>Quantitative trait(s);Oral-related</t>
  </si>
  <si>
    <t>Quantitative trait(s);Blood-related;Renal;Serum</t>
  </si>
  <si>
    <t>CVD risk factor (CVD RF);Quantitative trait(s);Blood pressure;Lipids;Weight;T2D-related;Height;Heart rate</t>
  </si>
  <si>
    <t>Quantitative trait(s);Heart</t>
  </si>
  <si>
    <t>Drug response;Neuro;Schizophrenia;Quantitative trait(s);Heart</t>
  </si>
  <si>
    <t>Drug response;Neuro;Depression;Adverse drug reaction (ADR);Quantitative trait(s);Heart</t>
  </si>
  <si>
    <t>Quantitative trait(s);Heart;Heart rate</t>
  </si>
  <si>
    <t>Quantitative trait(s);Arterial;Heart;Blood pressure;Heart rate;Physical activity;Subclinical CVD</t>
  </si>
  <si>
    <t>Quantitative trait(s);CVD risk factor (CVD RF);Lipids;Plasma</t>
  </si>
  <si>
    <t>Quantitative trait(s);Blood-related;Plasma;Gender;Male;Female</t>
  </si>
  <si>
    <t>Quantitative trait(s);Blood-related;Gender;Female;Plasma</t>
  </si>
  <si>
    <t>Quantitative trait(s);Blood-related;Hormonal;Gender;Female;Reproductive;Serum</t>
  </si>
  <si>
    <t>Quantitative trait(s);Neuro;Developmental</t>
  </si>
  <si>
    <t>Quantitative trait(s);Blood;Hepatic;Serum</t>
  </si>
  <si>
    <t>Quantitative trait(s);Eye-related;Glaucoma</t>
  </si>
  <si>
    <t>Quantitative trait(s);Blood-related;Inflammation;Arthritis</t>
  </si>
  <si>
    <t>CVD risk factor (CVD RF);Quantitative trait(s);Lipids</t>
  </si>
  <si>
    <t>CVD risk factor (CVD RF);Quantitative trait(s);Lipids;Gender;Female</t>
  </si>
  <si>
    <t>Quantitative trait(s);CVD risk factor (CVD RF);Lipids;Blood-related;Plasma;Gender;Male;Female</t>
  </si>
  <si>
    <t>CVD risk factor (CVD RF);Quantitative trait(s);Lipids;Gender;Male;Female</t>
  </si>
  <si>
    <t>Quantitative trait(s);Blood pressure;CVD risk factor (CVD RF);Heart;Heart rate;Physical activity</t>
  </si>
  <si>
    <t>Quantitative trait(s);Height</t>
  </si>
  <si>
    <t>Quantitative trait(s);Height;Gender;Male;Female</t>
  </si>
  <si>
    <t>Quantitative trait(s);Height;Weight</t>
  </si>
  <si>
    <t>Quantitative trait(s);Height;Developmental</t>
  </si>
  <si>
    <t>Quantitative trait(s);Blood-related;Gender;Male;Female</t>
  </si>
  <si>
    <t>Quantitative trait(s);CVD risk factor (CVD RF);Lipids</t>
  </si>
  <si>
    <t>Quantitative trait(s);Blood-related;Plasma;Immune-related</t>
  </si>
  <si>
    <t>Quantitative trait(s);Blood-related;Immune-related;Serum</t>
  </si>
  <si>
    <t>Quantitative trait(s);Blood-related;Immune-related;Plasma</t>
  </si>
  <si>
    <t>Quantitative trait(s);Blood-related;Gender;Female</t>
  </si>
  <si>
    <t>Quantitative trait(s);Blood-related;Serum;Gender;Male;Female</t>
  </si>
  <si>
    <t>Renal;Quantitative trait(s);Thyroid;Serum;Urinary</t>
  </si>
  <si>
    <t>Quantitative trait(s);Blood-related;Diet-related;Serum</t>
  </si>
  <si>
    <t>Quantitative trait(s);Weight;CVD risk factor (CVD RF)</t>
  </si>
  <si>
    <t>Quantitative trait(s);Blood-related;CVD risk factor (CVD RF);C-reactive protein (CRP);Lipids;Blood pressure;Weight</t>
  </si>
  <si>
    <t>Quantitative trait(s);Blood-related;Bone-related;CVD risk factor (CVD RF);Lipids;Hepatic;Renal;Serum;Urinary;Calcium</t>
  </si>
  <si>
    <t>Quantitative trait(s);Blood-related;Lipids;CVD risk factor (CVD RF);Cardiovascular disease (CVD);Myocardial infarction (MI)</t>
  </si>
  <si>
    <t>Quantitative trait(s);Blood-related;Plasma;Lipids;CVD risk factor (CVD RF)</t>
  </si>
  <si>
    <t>Quantitative trait(s);Blood-related;Cardiovascular disease (CVD);Mortality;Plasma;Lipids;CVD risk factor (CVD RF)</t>
  </si>
  <si>
    <t>Quantitative trait(s);Blood-related;Cardiovascular disease (CVD);Myocardial infarction (MI);Lipids;CVD risk factor (CVD RF)</t>
  </si>
  <si>
    <t>Quantitative trait(s);Hepatic;Plasma</t>
  </si>
  <si>
    <t>Aging;Mortality;Quantitative trait(s);Movement-related</t>
  </si>
  <si>
    <t>Quantitative trait(s);Pulmonary</t>
  </si>
  <si>
    <t>Quantitative trait(s);Cancer-related;Breast cancer;Gender;Female</t>
  </si>
  <si>
    <t>Quantitative trait(s);Blood-related;Gender;Male;Female;Serum</t>
  </si>
  <si>
    <t>Quantitative trait(s);Blood-related;Gender;Male;Serum</t>
  </si>
  <si>
    <t>Quantitative trait(s);Renal;CVD risk factor (CVD RF);Urinary;Gender;Male;Female</t>
  </si>
  <si>
    <t>Quantitative trait(s);Blood-related;Cancer-related;Graft-versus-host;Cell line</t>
  </si>
  <si>
    <t>Quantitative trait(s);Neuro;Aging</t>
  </si>
  <si>
    <t>Quantitative trait(s);Skin-related</t>
  </si>
  <si>
    <t>Quantitative trait(s);Blood-related;Blood pressure</t>
  </si>
  <si>
    <t>Quantitative trait(s);Blood pressure;Weight;CVD risk factor (CVD RF);Body mass index;Adipose-related</t>
  </si>
  <si>
    <t>Quantitative trait(s);Weight;Body mass index;CVD risk factor (CVD RF);Developmental</t>
  </si>
  <si>
    <t>Quantitative trait(s);Weight;Body mass index;CVD risk factor (CVD RF);Reproductive;Aging;Gender;Female</t>
  </si>
  <si>
    <t>Quantitative trait(s);Weight;CVD risk factor (CVD RF);Body mass index;Height;Adipose-related</t>
  </si>
  <si>
    <t>Quantitative trait(s);Weight;CVD risk factor (CVD RF);Body mass index;Height</t>
  </si>
  <si>
    <t>Quantitative trait(s);Cancer-related;Drug response;Cell line</t>
  </si>
  <si>
    <t>Quantitative trait(s);Blood-related;Platelet;Plasma</t>
  </si>
  <si>
    <t>Quantitative trait(s);Blood-related;Platelet;Plasma;Treatment response</t>
  </si>
  <si>
    <t>Quantitative trait(s);Blood-related;Cancer-related;Prostate cancer;Gender;Male;Serum</t>
  </si>
  <si>
    <t>Quantitative trait(s);Blood-related;CVD risk factor (CVD RF);C-reactive protein (CRP);Hepatic;Renal;Weight;Thyroid;Inflammation;Serum;Plasma</t>
  </si>
  <si>
    <t>Quantitative trait(s);Reproductive;Gender;Male;Female</t>
  </si>
  <si>
    <t>Drug response;Quantitative trait(s);CVD risk factor (CVD RF);Lipids</t>
  </si>
  <si>
    <t>Treatment response;CVD risk factor (CVD RF);Quantitative trait(s);Lipids;Cancer-related;Cell line</t>
  </si>
  <si>
    <t>Quantitative trait(s);Blood pressure;CVD risk factor (CVD RF);Heart;Heart rate</t>
  </si>
  <si>
    <t>Eye-related;Blood-related;CVD risk factor (CVD RF);Quantitative trait(s);Arterial;Venous</t>
  </si>
  <si>
    <t>Quantitative trait(s);Developmental;Anthropometric</t>
  </si>
  <si>
    <t>Quantitative trait(s);Blood-related;Cardiovascular disease (CVD);Gender;Female;Plasma</t>
  </si>
  <si>
    <t>Quantitative trait(s);Blood-related;Plasma;Gender;Female</t>
  </si>
  <si>
    <t>Quantitative trait(s);Bone-related</t>
  </si>
  <si>
    <t>Quantitative trait(s);Cardiovascular disease (CVD);CVD risk factor (CVD RF);Blood-related;Arterial;Calcium;Subclinical CVD</t>
  </si>
  <si>
    <t>Quantitative trait(s);Skin-related;Infection;HIV/AIDS;Gender;Male;Adipose-related</t>
  </si>
  <si>
    <t>Quantitative trait(s);Neuro;Addiction;Alcohol;Narcotics</t>
  </si>
  <si>
    <t>Quantitative trait(s);Aging</t>
  </si>
  <si>
    <t>Quantitative trait(s);Aging;Gender;Male;Female</t>
  </si>
  <si>
    <t>Quantitative trait(s);Blood-related;Gender;Male;Reproductive;Serum</t>
  </si>
  <si>
    <t>Quantitative trait(s);Blood-related;Thyroid;Serum</t>
  </si>
  <si>
    <t>Quantitative trait(s);Blood-related;Lipids;CVD risk factor (CVD RF);Gender;Male;Serum</t>
  </si>
  <si>
    <t>Quantitative trait(s);Blood-related;Inflammation;Arthritis;Serum</t>
  </si>
  <si>
    <t>Quantitative trait(s);Blood-related;Inflammation;Arthritis;Serum;Gender;Male;Female</t>
  </si>
  <si>
    <t>Quantitative trait(s);Weight</t>
  </si>
  <si>
    <t>Quantitative trait(s);Blood-related;Asthma;Pulmonary;Chronic lung disease;Inflammation;Developmental;Serum</t>
  </si>
  <si>
    <t>Neuro;Quantitative trait(s)</t>
  </si>
  <si>
    <t>Neuro;Stroke;Quantitative trait(s)</t>
  </si>
  <si>
    <t>Eye-related;Quantitative trait(s)</t>
  </si>
  <si>
    <t>Cancer;Skin cancer;Skin-related;Melanoma;Quantitative trait(s)</t>
  </si>
  <si>
    <t>Quantitative trait(s);Inflammation;Rheumatoid arthritis;Arthritis</t>
  </si>
  <si>
    <t>Inflammation;Rheumatoid arthritis;Arthritis;Developmental</t>
  </si>
  <si>
    <t>Inflammation;Gastrointestinal;Celiac disease;Rheumatoid arthritis;Arthritis</t>
  </si>
  <si>
    <t>Drug response;Inflammation;Rheumatoid arthritis;Arthritis</t>
  </si>
  <si>
    <t>Inflammation;Arthritis;Rheumatoid arthritis</t>
  </si>
  <si>
    <t>Neuro;Behavioral;Autism;Gene expression (RNA);Blood-related;Cell line</t>
  </si>
  <si>
    <t>Treatment response;Cancer-related;Blood-related;Gene expression (RNA);Cell line</t>
  </si>
  <si>
    <t>Cancer-related;Drug response;Gene expression (RNA);Quantitative trait(s);Blood-related;Cell line</t>
  </si>
  <si>
    <t>Quantitative trait(s);Methylation;Epigenetics;Gene expression (RNA);Cell line</t>
  </si>
  <si>
    <t>Treatment response;Cancer-related;Blood-related;Cell line;Gene expression (RNA)</t>
  </si>
  <si>
    <t>Quantitative trait(s);Gene expression (RNA);Methylation;Epigenetics;Neuro</t>
  </si>
  <si>
    <t>Quantitative trait(s);Gene expression (RNA);Blood-related;Cell line</t>
  </si>
  <si>
    <t>Quantitative trait(s);Gene expression (RNA);Blood-related;Weight;Adipose-related</t>
  </si>
  <si>
    <t>Gene expression (RNA);Cancer;Basal cell cancer;Skin cancer;Skin-related;Cell line</t>
  </si>
  <si>
    <t>Quantitative trait(s);Gene expression (RNA);Blood-related</t>
  </si>
  <si>
    <t>Quantitative trait(s);Gene expression (RNA);Neuro</t>
  </si>
  <si>
    <t>Quantitative trait(s);Gene expression (RNA);Blood-related;Infection;HIV/AIDS</t>
  </si>
  <si>
    <t>Quantitative trait(s);Gene expression (RNA);Blood-related;Neuro</t>
  </si>
  <si>
    <t>Quantitative trait(s);Gene expression (RNA);Neuro;Alzheimer's disease</t>
  </si>
  <si>
    <t>Quantitative trait(s);Gene expression (RNA);Blood-related;Arterial</t>
  </si>
  <si>
    <t>Quantitative trait(s);Gene expression (RNA);Blood-related;Cancer;Endometrial cancer</t>
  </si>
  <si>
    <t>Quantitative trait(s);Gene expression (RNA);Cell line</t>
  </si>
  <si>
    <t>Quantitative trait(s);Gene expression (RNA);Blood-related;Cancer;Blood cancer;Leukemia</t>
  </si>
  <si>
    <t>Quantitative trait(s);Gene expression (RNA);Hepatic</t>
  </si>
  <si>
    <t>Quantitative trait(s);Gene expression (RNA);Muscle-related</t>
  </si>
  <si>
    <t>Quantitative trait(s);Gene expression (RNA);Bone-related</t>
  </si>
  <si>
    <t>Quantitative trait(s);Gene expression (RNA);Bone-related;Blood-related;Cell line</t>
  </si>
  <si>
    <t>Quantitative trait(s);Gene expression (RNA);Skin-related</t>
  </si>
  <si>
    <t>Quantitative trait(s);Gene expression (RNA);Blood-related;Skin-related;Adipose-related;Cell line;Gender;Female</t>
  </si>
  <si>
    <t>Quantitative trait(s);Gene expression (RNA);Oral-related</t>
  </si>
  <si>
    <t>Quantitative trait(s);Hepatic;Gastrointestinal;Weight;Gene expression (RNA);Adipose-related</t>
  </si>
  <si>
    <t>Quantitative trait(s);Gene expression (RNA);Bone-related;Treatment-related</t>
  </si>
  <si>
    <t>Gene expression (RNA);Adipose-related;miRNA</t>
  </si>
  <si>
    <t>Gene expression (RNA);miRNA;Cell line</t>
  </si>
  <si>
    <t>Quantitative trait(s);Gene expression (RNA);Blood-related;miRNA</t>
  </si>
  <si>
    <t>Gene expression (RNA);Radiation;Cytotoxicity;Cell line</t>
  </si>
  <si>
    <t>Drug response;Cancer-related;Gene expression (RNA);Cell line</t>
  </si>
  <si>
    <t>Inflammation;Systemic lupus erythematosus (SLE);Gender;Female</t>
  </si>
  <si>
    <t>Inflammation;Blood-related;Systemic lupus erythematosus (SLE);Serum</t>
  </si>
  <si>
    <t>Inflammation;Developmental;Congenital;Systemic lupus erythematosus (SLE)</t>
  </si>
  <si>
    <t>Inflammation;Systemic lupus erythematosus (SLE)</t>
  </si>
  <si>
    <t>Renal;Type 1 diabetes (T1D)</t>
  </si>
  <si>
    <t>Quantitative trait(s);Type 1 diabetes (T1D);Developmental;CVD risk factor (CVD RF)</t>
  </si>
  <si>
    <t>Eye-related;Type 2 diabetes (T2D)</t>
  </si>
  <si>
    <t>Cardiovascular disease (CVD);Quantitative trait(s);CVD risk factor (CVD RF);Lipids;Blood pressure;Type 2 diabetes (T2D);Addiction;Smoking</t>
  </si>
  <si>
    <t>Quantitative trait(s);Type 2 diabetes (T2D);Blood-related</t>
  </si>
  <si>
    <t>Quantitative trait(s);Type 2 diabetes (T2D);Plasma;Blood-related</t>
  </si>
  <si>
    <t>Drug response;Quantitative trait(s);Blood-related;Type 2 diabetes (T2D)</t>
  </si>
  <si>
    <t>Quantitative trait(s);Blood-related;Type 2 diabetes (T2D)</t>
  </si>
  <si>
    <t>CVD risk factor (CVD RF);Gender;Male;Lipids;Type 2 diabetes (T2D);Adipose-related;Blood pressure;Plasma;Blood-related</t>
  </si>
  <si>
    <t>CVD risk factor (CVD RF);Lipids;Type 2 diabetes (T2D);Adipose-related;Blood pressure</t>
  </si>
  <si>
    <t>Quantitative trait(s);Blood-related;Platelet;Hepatic;Renal;CVD risk factor (CVD RF);Lipids;Type 2 diabetes (T2D);Plasma</t>
  </si>
  <si>
    <t>Cardiovascular disease (CVD);Myocardial infarction (MI);Neuro;Behavioral;Bipolar disorder;Blood pressure;CVD risk factor (CVD RF);Blood-related;Type 1 diabetes (T1D);Type 2 diabetes (T2D);Developmental;Arthritis;Rheumatoid arthritis;Crohn's disease</t>
  </si>
  <si>
    <t>Cardiovascular disease (CVD);Myocardial infarction (MI);Type 2 diabetes (T2D);Quantitative trait(s);CVD risk factor (CVD RF);Lipids</t>
  </si>
  <si>
    <t>Renal;Type 2 diabetes (T2D)</t>
  </si>
  <si>
    <t>Cancer;Prostate cancer;Gender;Male;Reproductive;Type 2 diabetes (T2D)</t>
  </si>
  <si>
    <t>Drug response;CVD risk factor (CVD RF);Type 2 diabetes (T2D)</t>
  </si>
  <si>
    <t>Drug response;Type 2 diabetes (T2D)</t>
  </si>
  <si>
    <t>Treatment response;Type 2 diabetes (T2D);Renal;Mortality</t>
  </si>
  <si>
    <t>Drug response;Adverse drug reaction (ADR);Type 2 diabetes (T2D)</t>
  </si>
  <si>
    <t>Type 2 diabetes (T2D);CVD risk factor (CVD RF)</t>
  </si>
  <si>
    <t>Type 2 diabetes (T2D);CVD risk factor (CVD RF);Blood-related;Lipids;Weight;Height;Blood pressure</t>
  </si>
  <si>
    <t>Type 2 diabetes (T2D);CVD risk factor (CVD RF);Gender;Male;Female</t>
  </si>
  <si>
    <t>Type 2 diabetes (T2D);CVD risk factor (CVD RF);Quantitative trait(s);Gene expression (RNA);Adipose-related;Muscle-related</t>
  </si>
  <si>
    <t>Type 1 diabetes (T1D);Developmental;CVD risk factor (CVD RF)</t>
  </si>
  <si>
    <t>Renal;Chronic kidney disease;Quantitative trait(s)</t>
  </si>
  <si>
    <t>Neuro;Inflammation;Multiple sclerosis (MS)</t>
  </si>
  <si>
    <t>Quantitative trait(s);Neuro;Inflammation;Multiple sclerosis (MS)</t>
  </si>
  <si>
    <t>Quantitative trait(s);Neuro;Stroke;Cardiovascular disease (CVD)</t>
  </si>
  <si>
    <t>Quantitative trait(s);Renal;CVD risk factor (CVD RF);Adverse drug reaction (ADR);Drug response;Cardiovascular disease (CVD)</t>
  </si>
  <si>
    <t>Quantitative trait(s);Blood-related;Inflammation;CVD risk factor (CVD RF);C-reactive protein (CRP);Gender;Female;Plasma</t>
  </si>
  <si>
    <t>Quantitative trait(s);Cardiovascular disease (CVD);C-reactive protein (CRP);Serum;Blood-related</t>
  </si>
  <si>
    <t>Quantitative trait(s);CVD risk factor (CVD RF);Lipids;Weight;Body mass index;Hepatic;Blood-related;C-reactive protein (CRP)</t>
  </si>
  <si>
    <t>Quantitative trait(s);Hepatic;Platelet;Serum;Plasma;Blood-related;C-reactive protein (CRP)</t>
  </si>
  <si>
    <t>#results</t>
  </si>
  <si>
    <t/>
  </si>
  <si>
    <t>No results flag</t>
  </si>
  <si>
    <t>Neuro;Drug response;Schizophrenia;Movement-related;Adverse drug reaction (ADR)</t>
  </si>
  <si>
    <t>Drug response;Quantitative trait(s);Platelet;Blood-related;Cardiovascular disease (CVD)</t>
  </si>
  <si>
    <t>Cancer;Pancreatic cancer;Pancreas</t>
  </si>
  <si>
    <t>Cancer;Pancreatic cancer;Pancreas;Treatment response</t>
  </si>
  <si>
    <t>IsEqtl/meQTL/pQTL/gQTL/Metabolmics?</t>
  </si>
  <si>
    <t>In NHGRI GWAS catalog (8/26/14)?</t>
  </si>
  <si>
    <t>GRASPversion?</t>
  </si>
  <si>
    <t>GRASP1.0</t>
  </si>
  <si>
    <t>GRASP 2.0</t>
  </si>
  <si>
    <t>93 circulating phenotypes</t>
  </si>
  <si>
    <t>Quantitative trait(s);Blood-related;Immune-related;Inflammation;Lipids;CVD risk factor (CVD RF);Hormonal;Calcium;Hepatic;C-reactive protein (CRP)</t>
  </si>
  <si>
    <t>Imputation of variants from the 1000 Genomes Project modestly improves known associations and can identify low-frequency variant-phenotype associations undetected by HapMap based imputation.</t>
  </si>
  <si>
    <t>Illumina &amp; imputed [10,879,115]</t>
  </si>
  <si>
    <t>Abdominal subcutaneous and visceral adipose depots</t>
  </si>
  <si>
    <t>Genome-wide association for abdominal subcutaneous and visceral adipose reveals a novel locus for visceral fat in women.</t>
  </si>
  <si>
    <t>5,560 European ancestry females and 4,997 European ancestry males</t>
  </si>
  <si>
    <t>Affymetrix &amp; Illumina [2.5 million] (imputed)</t>
  </si>
  <si>
    <t>Gaunt</t>
  </si>
  <si>
    <t>Activated partial thromboplastin time (aPTT) and activated protein C resistance</t>
  </si>
  <si>
    <t>A gene-centric analysis of activated partial thromboplastin time and activated protein C resistance using the HumanCVD focused genotyping array.</t>
  </si>
  <si>
    <t>Illumina [36,529]</t>
  </si>
  <si>
    <t>Activated partial thromboplastin time (aPTT) and prothrombin time</t>
  </si>
  <si>
    <t>Genetic associations for activated partial thromboplastin time and prothrombin time, their gene expression profiles, and risk of coronary artery disease.</t>
  </si>
  <si>
    <t>9,240 European ancestry individuals</t>
  </si>
  <si>
    <t>2611 European ancestry individuals</t>
  </si>
  <si>
    <t>Christie</t>
  </si>
  <si>
    <t>Acute lung injury following major trauma</t>
  </si>
  <si>
    <t>Pulmonary;Wound</t>
  </si>
  <si>
    <t>Genome wide association identifies PPFIA1 as a candidate gene for acute lung injury risk following major trauma.</t>
  </si>
  <si>
    <t>600 European ancestry cases, 2,266 European ancestry controls</t>
  </si>
  <si>
    <t>212 European ancestry cases, 283 European ancestry controls</t>
  </si>
  <si>
    <t>Illumina [2,487,415] (imputed)</t>
  </si>
  <si>
    <t>Acute respiratory distress syndrome</t>
  </si>
  <si>
    <t>Pulmonary;Inflammation;Mortality</t>
  </si>
  <si>
    <t>IL1RN coding variant is associated with lower risk of acute respiratory distress syndrome and increased plasma IL-1 receptor antagonist.</t>
  </si>
  <si>
    <t>74 EA cases and 150 EA controls</t>
  </si>
  <si>
    <t>1167 EA cases and 1674 controls</t>
  </si>
  <si>
    <t>Illumina [45,448]</t>
  </si>
  <si>
    <t>Ji</t>
  </si>
  <si>
    <t>Adaptation of normoxic and mild-hypoxic inhabitants</t>
  </si>
  <si>
    <t>Pulmonary;Environment</t>
  </si>
  <si>
    <t>Mol Biol Evol</t>
  </si>
  <si>
    <t>Genetic adaptation of the hypoxia-inducible factor pathway to oxygen pressure among eurasian human populations.</t>
  </si>
  <si>
    <t>733 Highland Tibetans and 748 lowland/moderate Han Chinese individuals</t>
  </si>
  <si>
    <t>Illumina [503,698]</t>
  </si>
  <si>
    <t>Schimmelmann</t>
  </si>
  <si>
    <t>Bipolar disorder risk alleles in children with ADHD.</t>
  </si>
  <si>
    <t>Ebejer</t>
  </si>
  <si>
    <t>ADHD, inattention and hyperactivity-impulsivity tests</t>
  </si>
  <si>
    <t>Genome-wide association study of inattention and hyperactivity-impulsivity measured as quantitative traits.</t>
  </si>
  <si>
    <t>Illumina [2,373,249] (imputed)</t>
  </si>
  <si>
    <t>Dastani</t>
  </si>
  <si>
    <t>Novel loci for adiponectin levels and their influence on type 2 diabetes and metabolic traits: a multi-ethnic meta-analysis of 45,891 individuals.</t>
  </si>
  <si>
    <t>29,347 European ancestry individuals</t>
  </si>
  <si>
    <t>10,536 European ancestry individuals</t>
  </si>
  <si>
    <t>Plourde</t>
  </si>
  <si>
    <t>A Variant in the LRRFIP1 Gene Is Associated With Adiposity and Inflammation.</t>
  </si>
  <si>
    <t>928 Other ancestry individuals</t>
  </si>
  <si>
    <t>Illumina [543,714]</t>
  </si>
  <si>
    <t>Genetic variants in GPR126 are associated with adolescent idiopathic scoliosis.</t>
  </si>
  <si>
    <t>1,033 Japanese ancestry cases, 1,473 Japanese ancestry controls</t>
  </si>
  <si>
    <t>786 Japanese ancestry cases, 24,466 Japanese ancestry controls, 743 Han Chinese ancestry cases, 1,209 Han Chinese ancestry controls, 447 European ancestry cases, 737 European ancestry controls</t>
  </si>
  <si>
    <t xml:space="preserve">Illumina [465,762] </t>
  </si>
  <si>
    <t>Sobrin</t>
  </si>
  <si>
    <t>Advanced age-related macular degeneration subtypes</t>
  </si>
  <si>
    <t>Heritability and genome-wide association study to assess genetic differences between advanced age-related macular degeneration subtypes.</t>
  </si>
  <si>
    <t xml:space="preserve">1,775 European ancestry choroidal neovascularization cases, 819 European ancestry geographic atrophy cases, </t>
  </si>
  <si>
    <t>4,515 European and unknown ancestry choroidal neovascularization cases, 868 European and unknown ancestry geographic atrophy cases</t>
  </si>
  <si>
    <t>Affymetrix &amp; Illumina [6,036,699] (imputed)</t>
  </si>
  <si>
    <t>Tanikawa</t>
  </si>
  <si>
    <t>Developmental;Aging;Reproductive;Gender;Female;Menarche</t>
  </si>
  <si>
    <t>Genome wide association study of age at menarche in the Japanese population.</t>
  </si>
  <si>
    <t>15,495 Japanese ancestry female individuals</t>
  </si>
  <si>
    <t>Illumina [2,310,762] (imputed)</t>
  </si>
  <si>
    <t>Demerath</t>
  </si>
  <si>
    <t>Genome-wide association study of age at menarche in African-American women.</t>
  </si>
  <si>
    <t>18,089 African American individuals</t>
  </si>
  <si>
    <t>2,850 African American individuals, 87,802 European ancestry inidividuals</t>
  </si>
  <si>
    <t>Spencer</t>
  </si>
  <si>
    <t>Age at menarche and age at natural menopause</t>
  </si>
  <si>
    <t>Developmental;Aging;Reproductive;Gender;Female;Menarche;Menopause</t>
  </si>
  <si>
    <t>Genetic variation and reproductive timing: African American women from the Population Architecture using Genomics and Epidemiology (PAGE) Study.</t>
  </si>
  <si>
    <t>4159 African-Amer women (Menarche); 1860 African-Amer women (Menopause)</t>
  </si>
  <si>
    <t>Illumina [161,098]</t>
  </si>
  <si>
    <t>Stolk</t>
  </si>
  <si>
    <t>Age at menopause</t>
  </si>
  <si>
    <t>Developmental;Aging;Reproductive;Gender;Female;Menopause</t>
  </si>
  <si>
    <t>Meta-analyses identify 13 loci associated with age at menopause and highlight DNA repair and immune pathways.</t>
  </si>
  <si>
    <t>38,968 European ancestry women</t>
  </si>
  <si>
    <t>Up to 14,435 European ancestry women</t>
  </si>
  <si>
    <t>Affymetrix &amp; Illumina [2,551,160] (imputed)</t>
  </si>
  <si>
    <t>Perry</t>
  </si>
  <si>
    <t>Age at menopause (early menopause)</t>
  </si>
  <si>
    <t>A genome-wide association study of early menopause and the combined impact of identified variants.</t>
  </si>
  <si>
    <t>3,493 European ancestry cases, 13,598 European ancestry controls</t>
  </si>
  <si>
    <t>3,412 European ancestry cases, 4,928 European ancestry controls</t>
  </si>
  <si>
    <t>Jun</t>
  </si>
  <si>
    <t>Age-related cataract (ARC) and Alzheimer disease (AD)</t>
  </si>
  <si>
    <t>Eye-related;Aging;Neuro;Alzheimer's disease</t>
  </si>
  <si>
    <t>delta-Catenin is genetically and biologically associated with cortical cataract and future Alzheimer-related structural and functional brain changes.</t>
  </si>
  <si>
    <t>1249 individuals</t>
  </si>
  <si>
    <t>Affymetrix &amp; imputed [187,657]</t>
  </si>
  <si>
    <t>Cipriani</t>
  </si>
  <si>
    <t>Genome-wide association study of age-related macular degeneration identifies associated variants in the TNXB-FKBPL-NOTCH4 region of chromosome 6p21.3.</t>
  </si>
  <si>
    <t>893 European ancestry cases, 2,199 European ancestry controls</t>
  </si>
  <si>
    <t>1,411 European ancestry cases, 1,431 European ancestry controls</t>
  </si>
  <si>
    <t>Illumina [2,272,849] (imputed)</t>
  </si>
  <si>
    <t>Holliday</t>
  </si>
  <si>
    <t>Insights into the genetic architecture of early stage age-related macular degeneration: a genome-wide association study meta-analysis.</t>
  </si>
  <si>
    <t>3,772 European ancestry cases, 16,033 European ancestry controls</t>
  </si>
  <si>
    <t>264 Asian ancestry cases, 3,926 Asian ancestry controls</t>
  </si>
  <si>
    <t>Illumina &amp; Affymetrix [~2.5 million] imputed</t>
  </si>
  <si>
    <t>Genetic factors in nonsmokers with age-related macular degeneration revealed through genome-wide gene-environment interaction analysis.</t>
  </si>
  <si>
    <t>1,207 European ancestry cases, 686 European ancestry controls</t>
  </si>
  <si>
    <t>122 European ancestry cases, 86 European ancestry controls</t>
  </si>
  <si>
    <t>Affymetrix [2,543,887] (imputed)</t>
  </si>
  <si>
    <t>Fritsche</t>
  </si>
  <si>
    <t>Seven new loci associated with age-related macular degeneration.</t>
  </si>
  <si>
    <t>6,713 European ancestry cases, 48,402 European ancestry contols, 110 Southern Indian ancestry cases, 119 Southern Indian ancestry controls, 827 Japanese ancestry cases, 3,323 Japanese ancestry controls</t>
  </si>
  <si>
    <t>9,070 European ancestry cases, 7,683 European ancestry contols, 461 East Asian ancestry cases, 547 East Asian ancestry controls</t>
  </si>
  <si>
    <t>Illumina &amp; Affymetrix [2,442,884] (imputed)</t>
  </si>
  <si>
    <t>Aging successfully (longevity and low disease burden)</t>
  </si>
  <si>
    <t>Linkage and association of successful aging to the 6q25 region in large Amish kindreds</t>
  </si>
  <si>
    <t>80 Amish</t>
  </si>
  <si>
    <t>Affymetrix [630,309]</t>
  </si>
  <si>
    <t>Airflow obstruction</t>
  </si>
  <si>
    <t>Pulmonary;Chronic obstructive pulmonary disease (COPD);Smoking;Addiction</t>
  </si>
  <si>
    <t>Genome-wide association studies identify CHRNA5/3 and HTR4 in the development of airflow obstruction.</t>
  </si>
  <si>
    <t>Up to 3,368 European ancestry cases, Up to 29,507 European ancestry controls</t>
  </si>
  <si>
    <t>331 European ancestry cases, 2,550 European ancestry controls</t>
  </si>
  <si>
    <t>Affymetrix &amp; Illumina [Up to ~2,500,000] (imputed)</t>
  </si>
  <si>
    <t>Franceschini</t>
  </si>
  <si>
    <t>Albumin and total protein, serum</t>
  </si>
  <si>
    <t>Discovery and fine mapping of serum protein loci through transethnic meta-analysis.</t>
  </si>
  <si>
    <t>Up to 53,190 European ancestry individuals, 9,380 Japanese ancestry individuals</t>
  </si>
  <si>
    <t>Illumina and Affymetrix [~2.5 million] (imputed)</t>
  </si>
  <si>
    <t>Albumin:globin ratio, serum</t>
  </si>
  <si>
    <t>Genome-wide association study of serum albumin:globulin ratio in Korean populations.</t>
  </si>
  <si>
    <t>4,637 East Asian ancestry individuals</t>
  </si>
  <si>
    <t>4,205 East Asian ancestry individuals</t>
  </si>
  <si>
    <t>Affymetrix [290,659]</t>
  </si>
  <si>
    <t>Alcohol and nicotine co-dependence</t>
  </si>
  <si>
    <t>Neuro;Addiction;Smoking;Alcohol;CVD risk factor (CVD RF)</t>
  </si>
  <si>
    <t>Genome-wide search for replicable risk gene regions in alcohol and nicotine co-dependence.</t>
  </si>
  <si>
    <t>818 European ancestry cases, 1,396 European ancestry controls, 449 African American cases, 480 African American controls</t>
  </si>
  <si>
    <t>Illumina [805,814]</t>
  </si>
  <si>
    <t>Genome-wide significant association signals in IPO11-HTR1A region specific for alcohol and nicotine codependence.</t>
  </si>
  <si>
    <t>818 European ancestry cases, 1,396 European ancestry controls</t>
  </si>
  <si>
    <t>Up to 907 European ancestry cases, Up to 2,830 European ancestry controls, Up to 449 African American cases, Up to 480 African American controls</t>
  </si>
  <si>
    <t>Common variants at 12q24 are associated with drinking behavior in Han Chinese.</t>
  </si>
  <si>
    <t>1,420 Han Chinese ancestry cases, 3,590 Han Chinese ancestry controls</t>
  </si>
  <si>
    <t>4,896 Han Chinese ancestry cases, 13,293 Han Chinese ancestry controls</t>
  </si>
  <si>
    <t>Chin Med J (Engl)</t>
  </si>
  <si>
    <t>ANKRD7 and CYTL1 are novel risk genes for alcohol drinking behavior.</t>
  </si>
  <si>
    <t>904 European ancestry individuals</t>
  </si>
  <si>
    <t>1,972 European ancestry individuals from 593 families, 761 European ancestry unrelated individuals, 2,955 Han Chinese ancestry individuals</t>
  </si>
  <si>
    <t>Affymetrix [379,319]</t>
  </si>
  <si>
    <t>Hamidovic</t>
  </si>
  <si>
    <t>Alcohol consumption (heavy)</t>
  </si>
  <si>
    <t>J Clin Psychopharmacol</t>
  </si>
  <si>
    <t>Genetic analysis of a population heavy drinking phenotype identifies risk variants in whites.</t>
  </si>
  <si>
    <t>1255 cases and 2514 controls</t>
  </si>
  <si>
    <t>Illumina &amp; imputed [~270,000]</t>
  </si>
  <si>
    <t>Alcohol craving</t>
  </si>
  <si>
    <t>Addict Behav</t>
  </si>
  <si>
    <t>Genetic influences on craving for alcohol.</t>
  </si>
  <si>
    <t>841 cases and 3135 controls</t>
  </si>
  <si>
    <t>Illumina [948,142]</t>
  </si>
  <si>
    <t>Dosage transmission disequilibrium test (dTDT) for linkage and association detection.</t>
  </si>
  <si>
    <t>847 EA cases and 552 EA controls</t>
  </si>
  <si>
    <t>A genome-wide association study of alcohol-dependence symptom counts in extended  pedigrees identifies C15orf53.</t>
  </si>
  <si>
    <t>2010 individuals in ~118 extended families</t>
  </si>
  <si>
    <t>8813 EA individuals</t>
  </si>
  <si>
    <t>Illumina &amp; imputed [707,557]</t>
  </si>
  <si>
    <t>Drug Alcohol Depend</t>
  </si>
  <si>
    <t>NKAIN1-SERINC2 is a functional, replicable and genome-wide significant risk gene region specific for alcohol dependence in subjects of European descent.</t>
  </si>
  <si>
    <t>1,409 European ancestry cases, 1,518 European ancestry controls</t>
  </si>
  <si>
    <t>6,438 European ancestry individuals from 1,645 affected families</t>
  </si>
  <si>
    <t>Whitcomb</t>
  </si>
  <si>
    <t>Alcohol-related and sporadic pancreatitis</t>
  </si>
  <si>
    <t>Inflammation;Alcohol;Pancreas</t>
  </si>
  <si>
    <t>Common genetic variants in the CLDN2 and PRSS1-PRSS2 loci alter risk for alcohol-related and sporadic pancreatitis.</t>
  </si>
  <si>
    <t>676 European ancestry cases, 4,507 European ancestry controls</t>
  </si>
  <si>
    <t>910 European ancestry cases, 4,170 European ancestry controls</t>
  </si>
  <si>
    <t>Illumina [625,739]</t>
  </si>
  <si>
    <t>Allele-specific FAIRE regulation in lymphoblastoid cell lines</t>
  </si>
  <si>
    <t>Gene expression (RNA);Blood-related;Epigenetics;Cell line</t>
  </si>
  <si>
    <t>Use of allele-specific FAIRE to determine functional regulatory polymorphism using large-scale genotyping arrays.</t>
  </si>
  <si>
    <t>3 European ancestry cell lines</t>
  </si>
  <si>
    <t>15,401 European ancestry</t>
  </si>
  <si>
    <t>Illumina [49,094]</t>
  </si>
  <si>
    <t>Alopecia (early-onset androgenetic alopecia)</t>
  </si>
  <si>
    <t>Hair;Developmental</t>
  </si>
  <si>
    <t>Six novel susceptibility Loci for early-onset androgenetic alopecia and their unexpected association with common diseases.</t>
  </si>
  <si>
    <t>3,891 European ancestry cases, 8,915 European ancestry controls</t>
  </si>
  <si>
    <t>Affymetrix &amp; Illumina [2,391,230] (imputed)</t>
  </si>
  <si>
    <t>Alpha-tocopherol after vitamin E supplementation in men, serum</t>
  </si>
  <si>
    <t>Treatment response;Diet-related;Blood-related;Serum;Gender;Male</t>
  </si>
  <si>
    <t>J Nutr</t>
  </si>
  <si>
    <t>Genome-wide association study identifies three common variants associated with serologic response to vitamin E supplementation in men.</t>
  </si>
  <si>
    <t>2,112 European ancestry individuals</t>
  </si>
  <si>
    <t>Illumina [549,989]</t>
  </si>
  <si>
    <t>Ramanan</t>
  </si>
  <si>
    <t>Brain Imaging Behav</t>
  </si>
  <si>
    <t>Genome-wide pathway analysis of memory impairment in the Alzheimer's Disease Neuroimaging Initiative (ADNI) cohort implicates gene candidates, canonical pathways, and networks.</t>
  </si>
  <si>
    <t>742 individuals</t>
  </si>
  <si>
    <t>Illumina [531,096]</t>
  </si>
  <si>
    <t>Genome-wide haplotype association study identifies the FRMD4A gene as a risk locus for Alzheimer's disease.</t>
  </si>
  <si>
    <t>2,025 European ancestry cases, 5,328 European ancestry controls</t>
  </si>
  <si>
    <t>7,913 European ancestry cases, 10,417 European ancestry controls</t>
  </si>
  <si>
    <t>Illumina [~7.7 million] (imputed)</t>
  </si>
  <si>
    <t>Gaj</t>
  </si>
  <si>
    <t>Identification of a Late Onset Alzheimer's Disease Candidate Risk Variant at 9q21.33 in Polish Patients</t>
  </si>
  <si>
    <t>282 Caucasian women</t>
  </si>
  <si>
    <t>Affymetrix [~906,600]</t>
  </si>
  <si>
    <t>Reitz</t>
  </si>
  <si>
    <t>Variants in the ATP-binding cassette transporter (ABCA7), apolipoprotein E &amp;#x003f5;4,and the risk of late-onset Alzheimer disease in African Americans.</t>
  </si>
  <si>
    <t>1,968 African American cases, 3,928 African American controls</t>
  </si>
  <si>
    <t>Illumina [17,332,474] (imputed)</t>
  </si>
  <si>
    <t>Cummings</t>
  </si>
  <si>
    <t>Genome-wide association and linkage study in the Amish detects a novel candidate late-onset Alzheimer disease gene.</t>
  </si>
  <si>
    <t>109 Amish cases, 689 Amish controls</t>
  </si>
  <si>
    <t>Affymetrix [614,963]</t>
  </si>
  <si>
    <t>Miyashita</t>
  </si>
  <si>
    <t>SORL1 is genetically associated with late-onset Alzheimer's disease in Japanese, Koreans and Caucasians.</t>
  </si>
  <si>
    <t>891 Japanese ancestry cases, 844 Japanese ancestry controls</t>
  </si>
  <si>
    <t>1,224 East Asian ancestry cases, 2,114 East Asian ancestry controls, 11,840 European ancestry cases, 10,931 European ancestry controls</t>
  </si>
  <si>
    <t>Affymetrix [5,877,918] (imputed)</t>
  </si>
  <si>
    <t>Transl Psychiatry</t>
  </si>
  <si>
    <t>Genome-wide association study of Alzheimer's disease.</t>
  </si>
  <si>
    <t>1,291 European ancestry cases, 938 European ancestry controls</t>
  </si>
  <si>
    <t>509 European ancestry cases, 753 European ancestry controls, 2,218 cases, 2,583 controls</t>
  </si>
  <si>
    <t>Illumina [2,543,888] (imputed)</t>
  </si>
  <si>
    <t>Ousdal</t>
  </si>
  <si>
    <t>Amygdala reactivity</t>
  </si>
  <si>
    <t>Neuro;Imaging;Behavioral</t>
  </si>
  <si>
    <t>Associations between variants near a monoaminergic pathways gene (PHOX2B) and amygdala reactivity: a genome-wide functional imaging study.</t>
  </si>
  <si>
    <t>224 European ancestry individuals</t>
  </si>
  <si>
    <t>50 European ancestry individuals, 13 African American individuals, 29 Asian ancestry individuals, 7 other ancestry individuals</t>
  </si>
  <si>
    <t>Affymetrix [546,381]</t>
  </si>
  <si>
    <t>Residual association at C9orf72 suggests an alternative amyotrophic lateral sclerosis-causing hexanucleotide repeat.</t>
  </si>
  <si>
    <t>632 cases, 4519 controls</t>
  </si>
  <si>
    <t>Illumina &amp; imputed [442,057]</t>
  </si>
  <si>
    <t>Deng</t>
  </si>
  <si>
    <t>Genome-wide association analyses in Han Chinese identify two new susceptibility loci for amyotrophic lateral sclerosis.</t>
  </si>
  <si>
    <t>506 Han Chinese ancestry cases, 1,859 Han Chinese ancestry controls</t>
  </si>
  <si>
    <t>706 Han Chinese ancestry cases, 1,777 Han Chinese ancestry controls</t>
  </si>
  <si>
    <t xml:space="preserve">Illumina [473,683] </t>
  </si>
  <si>
    <t>ALSGEN Consortium</t>
  </si>
  <si>
    <t>Age of onset of amyotrophic lateral sclerosis is modulated by a locus on 1p34.1.</t>
  </si>
  <si>
    <t>4,243 European ancestry cases, 5,112 European ancestry controls</t>
  </si>
  <si>
    <t>Illumina [254,145]</t>
  </si>
  <si>
    <t>Diekstra</t>
  </si>
  <si>
    <t>Mapping of gene expression reveals CYP27A1 as a susceptibility gene for sporadic  ALS.</t>
  </si>
  <si>
    <t>2261 cases, 8328 controls for GWAS; 162 cases, 207 controls for eQTL</t>
  </si>
  <si>
    <t>1,307 cases, 1,835 controls for GWAS; 161 cases, 206 controls for eQTL</t>
  </si>
  <si>
    <t>Illumina [268,952] for GWAS; Illumina [261,682] for eQTL</t>
  </si>
  <si>
    <t>Kwee</t>
  </si>
  <si>
    <t>A high-density genome-wide association screen of sporadic ALS in US veterans.</t>
  </si>
  <si>
    <t>Up to 639 European ancestry cases, 6,257 European ancestry controls</t>
  </si>
  <si>
    <t>Up to 183 European ancestry cases, 961 European ancestry controls</t>
  </si>
  <si>
    <t>Affymetrix and Illumina [1,280,579]</t>
  </si>
  <si>
    <t>Androgen levels in men, serum</t>
  </si>
  <si>
    <t>Quantitative trait(s);Blood-related;Serum;Hormonal;Gender;Male</t>
  </si>
  <si>
    <t>Genome-wide association study identifies a new locus JMJD1C at 10q21 that may influence serum androgen levels in men.</t>
  </si>
  <si>
    <t>3,225 European ancestry males</t>
  </si>
  <si>
    <t>Illumina [642,461]</t>
  </si>
  <si>
    <t>Genetic determinants of the ankle-brachial index: a meta-analysis of a cardiovascular candidate gene 50K SNP panel in the candidate gene association resource (CARe) consortium.</t>
  </si>
  <si>
    <t>21,550 EA and 7,267 African-American individuals</t>
  </si>
  <si>
    <t>15,440 EA individuals</t>
  </si>
  <si>
    <t>Illumina [NR]</t>
  </si>
  <si>
    <t>Berndt</t>
  </si>
  <si>
    <t>Anthropometric traits (body mass index, waist to hip ratio, height, obesity grade)</t>
  </si>
  <si>
    <t>Genome-wide meta-analysis identifies 11 new loci for anthropometric traits and provides insights into genetic architecture.</t>
  </si>
  <si>
    <t>7,962 European ancestry individuals with high body mass index, 8,106 European ancestry individuals with low body mass index</t>
  </si>
  <si>
    <t>4,900 European ancestry individuals with high body mass index, 4,891 European ancestry individuals with low body mass index</t>
  </si>
  <si>
    <t>Illumina &amp; Affymetrix [~2.8 millions] (imputed)</t>
  </si>
  <si>
    <t>Pajewski</t>
  </si>
  <si>
    <t>Antibody response to anthrax vaccine adsorbed</t>
  </si>
  <si>
    <t>Vaccine;Immune-related;Infection;Anthrax</t>
  </si>
  <si>
    <t>A genome-wide association study of host genetic determinants of the antibody response to Anthrax Vaccine Adsorbed.</t>
  </si>
  <si>
    <t>726 European ancestry individuals</t>
  </si>
  <si>
    <t>Affymetrix [736,996]</t>
  </si>
  <si>
    <t>Ovsyannikova</t>
  </si>
  <si>
    <t>Antibody response to smallpox vaccine</t>
  </si>
  <si>
    <t>Vaccine;Immune-related;Infection;Smallpox</t>
  </si>
  <si>
    <t>Genome-wide association study of antibody response to smallpox vaccine.</t>
  </si>
  <si>
    <t>217 African American individuals, 580 European ancestry individuals, 217 Hispanic individuals</t>
  </si>
  <si>
    <t>Tansey</t>
  </si>
  <si>
    <t>Antidepressant efficacy in major depressive disorder</t>
  </si>
  <si>
    <t>Neuro;Depression;Drug response</t>
  </si>
  <si>
    <t>PLoS Med</t>
  </si>
  <si>
    <t>Genetic predictors of response to serotonergic and noradrenergic antidepressants  in major depressive disorder: a genome-wide analysis of individual-level data and a meta-analysis.</t>
  </si>
  <si>
    <t>1790 individuals</t>
  </si>
  <si>
    <t>Illumina [520,978]</t>
  </si>
  <si>
    <t>Common genetic variation and antidepressant efficacy in major depressive disorder: a meta-analysis of three genome-wide pharmacogenetic studies.</t>
  </si>
  <si>
    <t>Up to 2,256 European ancestry cases</t>
  </si>
  <si>
    <t>Illumina &amp; Affymetrix [1.2 million] (imputed)</t>
  </si>
  <si>
    <t>Sasayama</t>
  </si>
  <si>
    <t>Antidepressant response in major depressive disorder</t>
  </si>
  <si>
    <t>Possible association of CUX1 gene polymorphisms with antidepressant response in major depressive disorder.</t>
  </si>
  <si>
    <t>92 Japanese ancestry cases</t>
  </si>
  <si>
    <t>136 Japanese ancestry cases</t>
  </si>
  <si>
    <t>Illumina [291,512]</t>
  </si>
  <si>
    <t>Antihypertensive response to an Angiotensin II Receptor Blocker</t>
  </si>
  <si>
    <t>Drug response;Quantitative trait(s);Blood pressure;CVD risk factor (CVD RF)</t>
  </si>
  <si>
    <t>Genomic association analysis identifies multiple loci influencing antihypertensive response to an angiotensin II receptor blocker.</t>
  </si>
  <si>
    <t>198 European ancestry hypertensive individuals, 193 African American hypertensive individuals</t>
  </si>
  <si>
    <t>Affymetrix [~2.3 million] (imputed)</t>
  </si>
  <si>
    <t>Lyons</t>
  </si>
  <si>
    <t>Antineutrophil cytoplasmic antibody (ANCA)-associated vasculitis</t>
  </si>
  <si>
    <t>Immune-related;Arterial;Vasculitis</t>
  </si>
  <si>
    <t>Genetically distinct subsets within ANCA-associated vasculitis.</t>
  </si>
  <si>
    <t>914 European ancestry cases, 5,259 European ancestry controls</t>
  </si>
  <si>
    <t>1,454 European ancestry cases, 1,666 European ancestry controls</t>
  </si>
  <si>
    <t>Antiphospholipid antibodies</t>
  </si>
  <si>
    <t>Immune-related;Inflammation;Systemic lupus erythematosus (SLE)</t>
  </si>
  <si>
    <t>Autoimmune Dis</t>
  </si>
  <si>
    <t>Genome-wide association study of antiphospholipid antibodies.</t>
  </si>
  <si>
    <t>183 European ancestry ACL-positive cases, 487 European ancestry ACL-negative controls, 127 European ancestry LAC-positive cases, 581 European ancestry LAC-negative controls, 136 European ancestry Anti-B2GPI-positive cases, 360 European ancestry Anti-B2GPI-negative controls</t>
  </si>
  <si>
    <t>Affymetrix [906,600]</t>
  </si>
  <si>
    <t>Antipsychotic drug-induced weight gain, severe</t>
  </si>
  <si>
    <t>Neuro;Drug response;Schizophrenia;Quantitative trait(s);Weight;CVD risk factor (CVD RF);Body mass index</t>
  </si>
  <si>
    <t>Association between common variants near the melanocortin 4 receptor gene and severe antipsychotic drug-induced weight gain.</t>
  </si>
  <si>
    <t xml:space="preserve">77 European ancestry individuals, 32 African American individuals, 30 Other ancestry individuals </t>
  </si>
  <si>
    <t>183 European ancestry individuals, 22 African American individuals</t>
  </si>
  <si>
    <t>Illumina [803,582]</t>
  </si>
  <si>
    <t>Antipsychotic treatment outcomes</t>
  </si>
  <si>
    <t>Neuro;Drug response;Schizophrenia</t>
  </si>
  <si>
    <t>Genome-wide association study of patient-rated and clinician-rated global impression of severity during antipsychotic treatment.</t>
  </si>
  <si>
    <t>Up to 421 European ancestry Schizophrenia cases, Up to 214 African American individuals, Up to 103 individuals</t>
  </si>
  <si>
    <t>Affymetrix [492,900]</t>
  </si>
  <si>
    <t>Tielbeek</t>
  </si>
  <si>
    <t>Antisocial behavior (adult)</t>
  </si>
  <si>
    <t>Unraveling the genetic etiology of adult antisocial behavior: a genome-wide association study.</t>
  </si>
  <si>
    <t>4816 individuals from 2227 families</t>
  </si>
  <si>
    <t>Illumina &amp; imputed [~2.4 million]</t>
  </si>
  <si>
    <t>de la Morena-Barrio</t>
  </si>
  <si>
    <t>Antithrombin, in plasma</t>
  </si>
  <si>
    <t>Identification of antithrombin-modulating genes. Role of LARGE, a gene encoding a bifunctional glycosyltransferase, in the secretion of proteins?</t>
  </si>
  <si>
    <t>353 individuals in 21 extended Spanish families</t>
  </si>
  <si>
    <t>307 Spanish EA individuals</t>
  </si>
  <si>
    <t>Illumina [283,437]</t>
  </si>
  <si>
    <t>Trzaskowski</t>
  </si>
  <si>
    <t>Anxiety (childhood anxiety)</t>
  </si>
  <si>
    <t>First genome-wide association study on anxiety-related behaviours in childhood.</t>
  </si>
  <si>
    <t>2,810 European ancestry children</t>
  </si>
  <si>
    <t>4,804 European ancestry children</t>
  </si>
  <si>
    <t>Pierce</t>
  </si>
  <si>
    <t>Arsenic metabolism and toxicity</t>
  </si>
  <si>
    <t>Quantitative trait(s);Urinary;Cancer-related;Environment</t>
  </si>
  <si>
    <t>Genome-wide association study identifies chromosome 10q24.32 variants associated with arsenic metabolism and toxicity phenotypes in bangladesh.</t>
  </si>
  <si>
    <t>1,313 Bangladeshi individuals</t>
  </si>
  <si>
    <t>1,085 Bangladeshi cases, 1,794 Bangladeshi controls</t>
  </si>
  <si>
    <t>Illumina [259,597]</t>
  </si>
  <si>
    <t>Thompason</t>
  </si>
  <si>
    <t>Genome-wide association analysis of juvenile idiopathic arthritis identifies a new susceptibility locus at chromosomal region 3q13.</t>
  </si>
  <si>
    <t>814 European ancestry cases, 658 European ancestry controls and 2,400 controls</t>
  </si>
  <si>
    <t>1,744 European ancestry cases, 7,010 European ancestry controls</t>
  </si>
  <si>
    <t>Affmyetrix [561,137]</t>
  </si>
  <si>
    <t>Hinks</t>
  </si>
  <si>
    <t>Arthritis (juvenile rheumatoid arthritis)</t>
  </si>
  <si>
    <t>Dense genotyping of immune-related disease regions identifies 14 new susceptibility loci for juvenile idiopathic arthritis.</t>
  </si>
  <si>
    <t>2816 EA cases, 13056 EA controls</t>
  </si>
  <si>
    <t>Illumina [123,003]</t>
  </si>
  <si>
    <t>Aspirin hydrolytic activity, in plasma</t>
  </si>
  <si>
    <t>Drug response;Platelet;Quantitative trait(s);Blood-related;Plasma</t>
  </si>
  <si>
    <t>J Biol Chem</t>
  </si>
  <si>
    <t>Aspirin hydrolysis in plasma is a variable function of butyrylcholinesterase and platelet-activating factor acetylhydrolase 1b2 (PAFAH1b2).</t>
  </si>
  <si>
    <t>2,054 European ancestry individuals</t>
  </si>
  <si>
    <t>Affymetrix [2,421,779] (imputed)</t>
  </si>
  <si>
    <t>Aspirin-exacerbated respiratory disease</t>
  </si>
  <si>
    <t>Genome-wide association study of aspirin-exacerbated respiratory disease in a Korean population.</t>
  </si>
  <si>
    <t>117 Korean ancestry cases, 685 Korean ancestry controls</t>
  </si>
  <si>
    <t xml:space="preserve">142 Korean ancestry cases, 996 Korean ancestry controls </t>
  </si>
  <si>
    <t>Illumina [430,486]</t>
  </si>
  <si>
    <t>Kantor</t>
  </si>
  <si>
    <t>Replication and fine mapping of asthma-associated loci in individuals of African ancestry.</t>
  </si>
  <si>
    <t>745 African-Amer cases and 3238 African-Amer controls</t>
  </si>
  <si>
    <t>Genome-wide ancestry association testing identifies a common European variant on  6q14.1 as a risk factor for asthma in African American subjects.</t>
  </si>
  <si>
    <t>355 African-American cases and 444 African-American controls</t>
  </si>
  <si>
    <t>277 Puerto Rican cases and 191 Puerto Rican controls</t>
  </si>
  <si>
    <t>Illumina [1,026,072]</t>
  </si>
  <si>
    <t>Case-control admixture mapping in Latino populations enriches for known asthma-associated genes.</t>
  </si>
  <si>
    <t>529 Hispanic cases and 347 Hispanic controls</t>
  </si>
  <si>
    <t>Affymetrix [729,685]</t>
  </si>
  <si>
    <t>Genome-wide association studies of asthma in population-based cohorts confirm known and suggested loci and identify an additional association near HLA.</t>
  </si>
  <si>
    <t>1,716 European ancestry cases, 16,888 European ancestry controls</t>
  </si>
  <si>
    <t>4,035 European ancestry cases, 11,251 European ancestry controls</t>
  </si>
  <si>
    <t>Affymetrix &amp; Ilumina [~2.2 million] (imputed)</t>
  </si>
  <si>
    <t>Choudhry</t>
  </si>
  <si>
    <t>Genome-wide screen for asthma in Puerto Ricans: evidence for association with 5q23 region.</t>
  </si>
  <si>
    <t>96 cases and 88 controls (Puerto Rican)</t>
  </si>
  <si>
    <t>284 Puerto Rican trios</t>
  </si>
  <si>
    <t>Affymetrix [97,112]</t>
  </si>
  <si>
    <t>Genome-wide association studies of asthma indicate opposite immunopathogenesis direction from autoimmune diseases.</t>
  </si>
  <si>
    <t>813 European ancestry cases, 1,011 European ancestry controls</t>
  </si>
  <si>
    <t>NR (TENOR and GABRIEL studies)</t>
  </si>
  <si>
    <t>Illumina [474,271]</t>
  </si>
  <si>
    <t>Further replication studies of the EVE Consortium meta-analysis identifies 2 asthma risk loci in European Americans.</t>
  </si>
  <si>
    <t>4867 EA, 4644 Latino, 3447 African-American</t>
  </si>
  <si>
    <t>7202 Cases; 6426 Controls; 507 trios</t>
  </si>
  <si>
    <t>Illumina, Affymetrix, &amp; imputed [~2 million]</t>
  </si>
  <si>
    <t>Duan</t>
  </si>
  <si>
    <t>Asthma (acute bronchodilator response)</t>
  </si>
  <si>
    <t>A genome-wide association study of bronchodilator response in asthmatics.</t>
  </si>
  <si>
    <t>Up to 403 European ancestry asthmatic children and their parents</t>
  </si>
  <si>
    <t>764 European ancestry cases, 592 Costa Rican ancestry cases</t>
  </si>
  <si>
    <t>Illumina [534,290]</t>
  </si>
  <si>
    <t>Lasky-Su</t>
  </si>
  <si>
    <t>Asthma (adult)</t>
  </si>
  <si>
    <t>HLA-DQ strikes again: genome-wide association study further confirms HLA-DQ in the diagnosis of asthma among adults.</t>
  </si>
  <si>
    <t xml:space="preserve">Up to 1,238 European ancestry cases, Up to 2,617 European ancestry controls </t>
  </si>
  <si>
    <t>Up to 1,837 European ancestry cases, Up to 3,803 European ancestry controls, Up to 2,806 cases, Up to 2,150 controls, Up to 603 Costa Rican ancestry cases and their parents</t>
  </si>
  <si>
    <t>Forno</t>
  </si>
  <si>
    <t>Asthma (childhood asthma, age at onset)</t>
  </si>
  <si>
    <t>Genome-wide association study of the age of onset of childhood asthma.</t>
  </si>
  <si>
    <t>573 European ancestry children</t>
  </si>
  <si>
    <t>107 European ancestry children, 591 Hispanic children, 233 Other ancestry children</t>
  </si>
  <si>
    <t>Illumina [512,296]</t>
  </si>
  <si>
    <t>Asthma (severe asthma)</t>
  </si>
  <si>
    <t>Genome-wide association study to identify genetic determinants of severe asthma.</t>
  </si>
  <si>
    <t>933 European ancestry cases, 3,346 European ancestry controls</t>
  </si>
  <si>
    <t>231 European ancestry cases, 1,345 European ancestry controls</t>
  </si>
  <si>
    <t>Illumina [6,103,628] (imputed)</t>
  </si>
  <si>
    <t>Asthma exacerbation</t>
  </si>
  <si>
    <t>Ann Allergy Asthma Immunol</t>
  </si>
  <si>
    <t>Genetic analysis of asthma exacerbations.</t>
  </si>
  <si>
    <t>199 cases and 502 controls</t>
  </si>
  <si>
    <t>Illumina [965,157]</t>
  </si>
  <si>
    <t>Asthma response to bronchodilators</t>
  </si>
  <si>
    <t>Genome-wide association analysis in asthma subjects identifies SPATS2L as a novel bronchodilator response gene.</t>
  </si>
  <si>
    <t>1,644 European ancestry asthmatic cases</t>
  </si>
  <si>
    <t>1,051 European ancestry asthmatic cases</t>
  </si>
  <si>
    <t>Affymetrix &amp; Illumina [4,571,615] (imputed)</t>
  </si>
  <si>
    <t>Asthma response to inhaled corticosteroids</t>
  </si>
  <si>
    <t>Genome-wide association identifies the T gene as a novel asthma pharmacogenetic locus.</t>
  </si>
  <si>
    <t>418 European ancestry cases</t>
  </si>
  <si>
    <t>407 European ancestry cases</t>
  </si>
  <si>
    <t>Affymetrix [444,088]</t>
  </si>
  <si>
    <t>Lopes</t>
  </si>
  <si>
    <t>Astigmatism</t>
  </si>
  <si>
    <t>Identification of a candidate gene for astigmatism.</t>
  </si>
  <si>
    <t>22,100 European ancestry individuals</t>
  </si>
  <si>
    <t>Illumina &amp; Affymetrix [2.8 million] (imputed)</t>
  </si>
  <si>
    <t>Skin-related;Inflammation;Allergy</t>
  </si>
  <si>
    <t>Genome-wide association study identifies eight new susceptibility loci for atopic dermatitis in the Japanese population.</t>
  </si>
  <si>
    <t>1,472 Japanese ancestry cases, 7,971 Japanese ancestry controls</t>
  </si>
  <si>
    <t>1,856 Japanese ancestry cases, 7,021 Japanese ancestry controls</t>
  </si>
  <si>
    <t>Illumina [606,164]</t>
  </si>
  <si>
    <t>Meta-analysis identifies six new susceptibility loci for atrial fibrillation.</t>
  </si>
  <si>
    <t>6,707 European ancestry cases, 52,426 European ancestry controls</t>
  </si>
  <si>
    <t>5,381 European ancestry casses, 10,030 European ancestry  controls</t>
  </si>
  <si>
    <t>Rahmioglu</t>
  </si>
  <si>
    <t>Atypical cytochrome P450 3A4 (CYP3A4) enzyme activity</t>
  </si>
  <si>
    <t>Eur J Drug Metab Pharmacokinet</t>
  </si>
  <si>
    <t>Genome-wide association study reveals a complex genetic architecture underpinning-induced CYP3A4 enzyme activity.</t>
  </si>
  <si>
    <t>310 European ancestry female twin individuals</t>
  </si>
  <si>
    <t>Connolly</t>
  </si>
  <si>
    <t>Child Dev</t>
  </si>
  <si>
    <t>A genome-wide association study of autism incorporating autism diagnostic interview-revised, autism diagnostic observation schedule, and social responsiveness scale.</t>
  </si>
  <si>
    <t>Up to 2,165 individuals of European, East Asian, South Asian and African American ancestries</t>
  </si>
  <si>
    <t>Up to 1,231 individuals</t>
  </si>
  <si>
    <t>Illumina [522,149]</t>
  </si>
  <si>
    <t>Networks of neuronal genes affected by common and rare variants in autism spectrum disorders.</t>
  </si>
  <si>
    <t>943 families</t>
  </si>
  <si>
    <t>1,753 families</t>
  </si>
  <si>
    <t>Individual common variants exert weak effects on the risk for autism spectrum disorderspi.</t>
  </si>
  <si>
    <t>1,419 European ancestry cases from 1416 families</t>
  </si>
  <si>
    <t>1,314 European ancestry cases from 1301 families</t>
  </si>
  <si>
    <t>Illumina [947,233]</t>
  </si>
  <si>
    <t>Cooper</t>
  </si>
  <si>
    <t>Autoimmune thyroid disease (Grave's disease and Hashimoto's thyroiditis)</t>
  </si>
  <si>
    <t>Grave's disease;Thyroid;Immune-related</t>
  </si>
  <si>
    <t>Seven newly identified loci for autoimmune thyroid disease.</t>
  </si>
  <si>
    <t>2285 Graves' disease cases, 462 Hashimoto's thyroiditis cases, and 9364 controls</t>
  </si>
  <si>
    <t>Illumina [103,875]</t>
  </si>
  <si>
    <t>Su</t>
  </si>
  <si>
    <t>Barrett's esophagus</t>
  </si>
  <si>
    <t>Gastrointestinal;Cancer-related</t>
  </si>
  <si>
    <t>Common variants at the MHC locus and at chromosome 16q24.1 predispose to Barrett's esophagus.</t>
  </si>
  <si>
    <t>Up to 1,852 European ancestry cases, 5,172 European ancestry controls</t>
  </si>
  <si>
    <t>5,986 European ancestry cases, 12,825 European ancestry controls</t>
  </si>
  <si>
    <t>Illumina [521,744]</t>
  </si>
  <si>
    <t>Behçet's disease</t>
  </si>
  <si>
    <t>Genome-wide association study identifies GIMAP as a novel susceptibility locus for Behcet's disease.</t>
  </si>
  <si>
    <t>367 Korean ancestry cases, 800 Korean ancestry controls</t>
  </si>
  <si>
    <t>363 Japanese ancestry cases, 272 Japanese ancestry controls</t>
  </si>
  <si>
    <t>Affymetrix [594,591]</t>
  </si>
  <si>
    <t>Hou</t>
  </si>
  <si>
    <t>Identification of a susceptibility locus in STAT4 for Beh&amp;#x000e7;et's disease in Han Chinese in a genome-wide association study.</t>
  </si>
  <si>
    <t>147 Han Chinese ancestry cases, 951 Han Chinese ancestry controls</t>
  </si>
  <si>
    <t>554 Han Chinese ancestry cases, 1,159 Han Chinese ancestry controls</t>
  </si>
  <si>
    <t>Affyemtrix [661,736]</t>
  </si>
  <si>
    <t>Kirino</t>
  </si>
  <si>
    <t>Genome-wide association analysis identifies new susceptibility loci for Beh&amp;#x000e7;et's disease and epistasis between HLA-B*51 and ERAP1.</t>
  </si>
  <si>
    <t>435 Turkish cases with uveitis, 780 Turkish cases without uveitis, 1,278 Turkish controls</t>
  </si>
  <si>
    <t>355 Turkish cases with uveitis, 483 Turkish cases without uveitis, 601 Turkish controls, Up to 612 Japanese ancestry cases, Up to 740 Japanese ancestry controls</t>
  </si>
  <si>
    <t>Illumina [779,465] (imputed)</t>
  </si>
  <si>
    <t>Beta-2 microglobulin, in plasma</t>
  </si>
  <si>
    <t>Genome-wide association study identified the human leukocyte antigen region as a novel locus for plasma beta-2 microglobulin.</t>
  </si>
  <si>
    <t>6,728 European ancestry individuals</t>
  </si>
  <si>
    <t>Beta-trace protein levels, in plasma</t>
  </si>
  <si>
    <t>Nephrol Dial Transplant</t>
  </si>
  <si>
    <t>Genome-wide significant locus of beta-trace protein, a novel kidney function biomarker, identified in European and African Americans.</t>
  </si>
  <si>
    <t xml:space="preserve">6,720 European ancestry individuals </t>
  </si>
  <si>
    <t>1,734 African American individuals</t>
  </si>
  <si>
    <t>Dai</t>
  </si>
  <si>
    <t>Bilirubin levels</t>
  </si>
  <si>
    <t>A genome-wide association study for serum bilirubin levels and gene-environment interaction in a Chinese population.</t>
  </si>
  <si>
    <t>1,452 Han Chinese ancestry individuals</t>
  </si>
  <si>
    <t>8,830 Han Chinese ancestry individuals</t>
  </si>
  <si>
    <t>Affymetrix [658,288] (imputed)</t>
  </si>
  <si>
    <t>Cox</t>
  </si>
  <si>
    <t>Bilirubin levels (total bilirubin)</t>
  </si>
  <si>
    <t>Quantitative trait(s);Blood-related;Hepatic</t>
  </si>
  <si>
    <t>Association of SNPs in the UGT1A gene cluster with total bilirubin and mortality in the Diabetes Heart Study.</t>
  </si>
  <si>
    <t>1,180 European ancestry individuals from ~475 families</t>
  </si>
  <si>
    <t>Illumina &amp; Affymetrix [371,951]</t>
  </si>
  <si>
    <t>Green</t>
  </si>
  <si>
    <t>Replication of bipolar disorder susceptibility alleles and identification of two  novel genome-wide significant associations in a new bipolar disorder case-control sample.</t>
  </si>
  <si>
    <t>2893 cases and 4539 controls</t>
  </si>
  <si>
    <t>Illumina [192,402]</t>
  </si>
  <si>
    <t>Goes</t>
  </si>
  <si>
    <t>Bipolar disorder (mood-incongruent psychotic bipolar disorder)</t>
  </si>
  <si>
    <t>Genome-wide association of mood-incongruent psychotic bipolar disorder.</t>
  </si>
  <si>
    <t>1,236 European ancestry cases, 960 Other ancestry cases, 8,148 European and other ancestry controls</t>
  </si>
  <si>
    <t>Affymetrix &amp; Illumina [NR] (~2.5 million)</t>
  </si>
  <si>
    <t>Sprooten</t>
  </si>
  <si>
    <t>Bipolar disorder and white matter integrity</t>
  </si>
  <si>
    <t>Neuro;Behavioral;Bipolar disorder;Imaging;Quantitative trait(s)</t>
  </si>
  <si>
    <t>Psychiatry Res</t>
  </si>
  <si>
    <t>White matter integrity as an intermediate phenotype: exploratory genome-wide association analysis in individuals at high risk of bipolar disorder.</t>
  </si>
  <si>
    <t xml:space="preserve">70 unaffected relatives of patients with bipolar disorder, 80 controls </t>
  </si>
  <si>
    <t>Illumina [565,404]</t>
  </si>
  <si>
    <t>Greenwood</t>
  </si>
  <si>
    <t>Bipolar disorder with irritable or elated mania in severe episodes</t>
  </si>
  <si>
    <t>Genome-wide association study of irritable vs. elated mania suggests genetic differences between clinical subtypes of bipolar disorder.</t>
  </si>
  <si>
    <t>117 European ancestry Irritable mania cases, 843 European ancestry Elated mania cases, 1033 European ancestry controls</t>
  </si>
  <si>
    <t>121 European ancestry Irritable maniacases, 1026 European ancestry Elated mania cases</t>
  </si>
  <si>
    <t>Affymetrix [703,012]</t>
  </si>
  <si>
    <t>Meier</t>
  </si>
  <si>
    <t>Bipolar disorder with negative mood delusions</t>
  </si>
  <si>
    <t>Genome-wide significant association between a 'negative mood delusions' dimension in bipolar disorder and genetic variation on chromosome 3q26.1.</t>
  </si>
  <si>
    <t>927 European ancestry cases, 2,168 European ancestry controls</t>
  </si>
  <si>
    <t>1,247 European ancestry cases, 1,434 European ancestry controls</t>
  </si>
  <si>
    <t>Illumina [378,570]</t>
  </si>
  <si>
    <t>Bipolar disorder with seasonal pattern mania</t>
  </si>
  <si>
    <t>A genome-wide association study of seasonal pattern mania identifies NF1A as a possible susceptibility gene for bipolar disorder.</t>
  </si>
  <si>
    <t>2,191 European ancestry cases, 1,434 European ancestry controls</t>
  </si>
  <si>
    <t>Horikoshi</t>
  </si>
  <si>
    <t>Birth weight</t>
  </si>
  <si>
    <t>Weight;Developmental;Pregnancy-related</t>
  </si>
  <si>
    <t>New loci associated with birth weight identify genetic links between intrauterine growth and adult height and metabolism.</t>
  </si>
  <si>
    <t>Up to 26,836 European ancestry individuals</t>
  </si>
  <si>
    <t>Up to 42,519 European ancestry individuals</t>
  </si>
  <si>
    <t>Illumina &amp; Affymetrix (~2.7 million) imputed</t>
  </si>
  <si>
    <t>Urbanek</t>
  </si>
  <si>
    <t>Birth weight, length, head circumference and fat mass</t>
  </si>
  <si>
    <t>Weight;Developmental;Pregnancy-related;Height;Adipose-related;Quantitative trait(s)</t>
  </si>
  <si>
    <t>The chromosome 3q25 genomic region is associated with measures of adiposity in newborns in a multi-ethnic genome-wide association study.</t>
  </si>
  <si>
    <t>1,095 Afro-Caribbean ancestry individuals, 1,363 European ancestry individuals, 616 Mexican American individuals, 1,207 Thai ancestry individuals</t>
  </si>
  <si>
    <t>2,296 European ancestry individuals</t>
  </si>
  <si>
    <t>Illumina [565,808] (imputed)</t>
  </si>
  <si>
    <t>Nicoletti</t>
  </si>
  <si>
    <t>Bisphosphonate-related osteonecrosis of the jaw</t>
  </si>
  <si>
    <t>Drug response;Oral-related;Bone-related;Dental;Adverse drug reaction (ADR)</t>
  </si>
  <si>
    <t>Oncologist</t>
  </si>
  <si>
    <t>Genomewide pharmacogenetics of bisphosphonate-induced osteonecrosis of the jaw: the role of RBMS3.</t>
  </si>
  <si>
    <t>30 cases and 1,743 controls white European</t>
  </si>
  <si>
    <t>?</t>
  </si>
  <si>
    <t>Illumina[3,542,142] (imputed)</t>
  </si>
  <si>
    <t>Ran</t>
  </si>
  <si>
    <t>Bivariate analysis of femoral neck bone mineral density and age at menarche</t>
  </si>
  <si>
    <t>Quantitative trait(s);Bone-related;Aging;Developmental;Reproductive;Gender;Female;Menarche</t>
  </si>
  <si>
    <t>Bivariate genome-wide association analyses identified genes with pleiotropic effects for femoral neck bone geometry and age at menarche.</t>
  </si>
  <si>
    <t>1,728 European ancestry individuals</t>
  </si>
  <si>
    <t>501 European ancestry individuals, 826 Chinese ancestry individuals</t>
  </si>
  <si>
    <t>Affymetrix [760,794]</t>
  </si>
  <si>
    <t>Blood biomarkers in chronic obstructive pulmonary disease</t>
  </si>
  <si>
    <t>Quantitative trait(s);Blood-related;Pulmonary;Chronic lung disease;Chronic obstructive pulmonary disease (COPD)</t>
  </si>
  <si>
    <t>Genome-wide association analysis of blood biomarkers in chronic obstructive pulmonary disease.</t>
  </si>
  <si>
    <t>Up to 1,951 European ancestry smokers</t>
  </si>
  <si>
    <t>Illumina [588,352]</t>
  </si>
  <si>
    <t>Cusanovich</t>
  </si>
  <si>
    <t>Blood cell count (lymphocyte count) and gene expression</t>
  </si>
  <si>
    <t>Quantitative trait(s);Blood-related;Immune-related;Gene expression (RNA);Cell line</t>
  </si>
  <si>
    <t>The combination of a genome-wide association study of lymphocyte count and analysis of gene expression data reveals novel asthma candidate genes.</t>
  </si>
  <si>
    <t>462 Hutterite individuals</t>
  </si>
  <si>
    <t>Affymetrix [279,749]</t>
  </si>
  <si>
    <t>Blood cell count (monocyte count)</t>
  </si>
  <si>
    <t>Genetic variation associated with circulating monocyte count in the eMERGE Network.</t>
  </si>
  <si>
    <t>9,849 European ancestry individuals, 894 African ancestry individuals, 271 other ancestry individuals</t>
  </si>
  <si>
    <t>Quantitative trait(s);Blood-related;Immune-related;Platelet</t>
  </si>
  <si>
    <t>GWAS of blood cell traits identifies novel associated loci and epistatic interactions in Caucasian and African-American children.</t>
  </si>
  <si>
    <t>7,943 African American children, 6,234 European ancestry children</t>
  </si>
  <si>
    <t>Illumina [544,917]</t>
  </si>
  <si>
    <t>Genetic variants that confer resistance to malaria are associated with red blood cell traits in African-Americans: an electronic medical record-based genome-wide association study.</t>
  </si>
  <si>
    <t>1904 African American individuals</t>
  </si>
  <si>
    <t>411 African American individuals</t>
  </si>
  <si>
    <t>Illumina [907,954]</t>
  </si>
  <si>
    <t>Blood cell traits, in red blood cells</t>
  </si>
  <si>
    <t>Genome-wide association analysis of red blood cell traits in African Americans: the COGENT Network.</t>
  </si>
  <si>
    <t>Up to 16,485 African American individuals</t>
  </si>
  <si>
    <t>9,692 African American individuals, 21,020 European ancestry individuals, 14,088 Japanese ancestry individuals</t>
  </si>
  <si>
    <t>Genetic Loci implicated in erythroid differentiation and cell cycle regulation are associated with red blood cell traits.</t>
  </si>
  <si>
    <t>7873 EA individuals</t>
  </si>
  <si>
    <t>4613 EA individuals</t>
  </si>
  <si>
    <t>Illumina [476,395]</t>
  </si>
  <si>
    <t>van der Harst</t>
  </si>
  <si>
    <t>Seventy-five genetic loci influencing the human red blood cell.</t>
  </si>
  <si>
    <t>62,553 European ancestry individuals, 9,308 South Asian ancestry individuals</t>
  </si>
  <si>
    <t>63,506 European ancestry individuals</t>
  </si>
  <si>
    <t>Illumina, Affymetrix &amp; Perlegen [2,711,806] imputed</t>
  </si>
  <si>
    <t>Ekstrom</t>
  </si>
  <si>
    <t>Blood group types in women</t>
  </si>
  <si>
    <t>Blood-related;Gender;Female</t>
  </si>
  <si>
    <t>Stat Appl Genet Mol Biol</t>
  </si>
  <si>
    <t>Detecting sample misidentifications in genetic association studies.</t>
  </si>
  <si>
    <t>2,203 Scandinavian women</t>
  </si>
  <si>
    <t>Illumina [521,741]</t>
  </si>
  <si>
    <t>Common variants at CDKAL1 and KLF9 are associated with body mass index in east Asian populations.</t>
  </si>
  <si>
    <t>26,620 Japanese ancestry individuals</t>
  </si>
  <si>
    <t>7,910 Japanese ancestry individuals, 27,715 East Asian individuals</t>
  </si>
  <si>
    <t>Illumina [2,178,018] (imputed)</t>
  </si>
  <si>
    <t>Gene</t>
  </si>
  <si>
    <t>A novel locus for body mass index on 5p15.2: a meta-analysis of two genome-wide association studies.</t>
  </si>
  <si>
    <t>5,218 European ancestry individuals</t>
  </si>
  <si>
    <t>762 European ancestry individuals</t>
  </si>
  <si>
    <t>Illumina [Up to 520,531]</t>
  </si>
  <si>
    <t>Meta-analysis identifies common variants associated with body mass index in east Asians.</t>
  </si>
  <si>
    <t>7,739 Chinese ancestry individuals, 2,194 Japanese ancestry individuals, 8,838 Korean ancestry individuals, 2,522 Malay ancestry individuals, 1,999 Han Chinese ancestry individuals, 1,992 Singapore Chinese individuals, 2,431 Chinese, Malay and Asian Indian individuals</t>
  </si>
  <si>
    <t>34,799 Japanese ancestry individuals, 14,628 Chinese ancestry individuals, 1,006 Singapore Chinese individuals, 2,782 Han Chinese ancestry individuals, 2,118 Malay ancestry individuals</t>
  </si>
  <si>
    <t>Affymetrix &amp; Illumina [2,474,474] (imputed)</t>
  </si>
  <si>
    <t>Gene-centric meta-analyses of 108 912 individuals confirm known body mass index loci and reveal three novel signals.</t>
  </si>
  <si>
    <t>78,436 EA individuals</t>
  </si>
  <si>
    <t>14,467 EA and 16,009 diverse individuals</t>
  </si>
  <si>
    <t>Illumina [49,320]</t>
  </si>
  <si>
    <t>Monda</t>
  </si>
  <si>
    <t>A meta-analysis identifies new loci associated with body mass index in individuals of African ancestry.</t>
  </si>
  <si>
    <t>37,956 African American individuals, 1,188 Nigerian ancestry individuals</t>
  </si>
  <si>
    <t>27,661 African America/Afro-Caribbean individuals, 4,607 Sub-Saharan African ancestry individuals, 123,706 European ancestry inidividuals</t>
  </si>
  <si>
    <t>Illumina and Affymetrix [3,283,202] (imputed)</t>
  </si>
  <si>
    <t>MelΘn</t>
  </si>
  <si>
    <t>Body mass index (BMI) and asthma</t>
  </si>
  <si>
    <t>Quantitative trait(s);Weight;CVD risk factor (CVD RF);Body mass index;Asthma;Pulmonary;Chronic lung disease;Inflammation</t>
  </si>
  <si>
    <t>Genome-wide association study of body mass index in 23 000 individuals with and without asthma.</t>
  </si>
  <si>
    <t>1,881 European ancestry children, 109 European and other ancestry children, 701 Other ancestry children</t>
  </si>
  <si>
    <t xml:space="preserve">979 European ancestry children, 921 Hispanic children, 120 Other ancestry children </t>
  </si>
  <si>
    <t>Illumina [536,451]</t>
  </si>
  <si>
    <t>Graff</t>
  </si>
  <si>
    <t>Body mass index (BMI) in adolescents and young adults</t>
  </si>
  <si>
    <t>Quantitative trait(s);Weight;Developmental;CVD risk factor (CVD RF);Body mass index</t>
  </si>
  <si>
    <t>Genome-wide analysis of BMI in adolescents and young adults reveals additional insight into the effects of genetic loci over the life course.</t>
  </si>
  <si>
    <t>Up to 13,627 European ancestry individuals</t>
  </si>
  <si>
    <t>Up to 16,253 European ancestry individuals</t>
  </si>
  <si>
    <t>Illumina &amp; Affymetrix [557,887] (imputed)</t>
  </si>
  <si>
    <t>Assessment of gene-by-sex interaction effect on bone mineral density.</t>
  </si>
  <si>
    <t>16,297 European ancestry females, 9,056 European ancestry males</t>
  </si>
  <si>
    <t>17,949 European, East Asian, and Hispanic ancestry females, 6,814 European, East Asian, and Hispanic ancestry males</t>
  </si>
  <si>
    <t>Illumina [&gt;2.3 million] (imputed)</t>
  </si>
  <si>
    <t>Ochs-Balcom</t>
  </si>
  <si>
    <t>Bone mineral density and fat mass</t>
  </si>
  <si>
    <t>Quantitative trait(s);Adipose-related;Bone-related;Aging</t>
  </si>
  <si>
    <t>Association of DXA-derived bone mineral density and fat mass with African ancestry.</t>
  </si>
  <si>
    <t>802 African-American women</t>
  </si>
  <si>
    <t>Affymetrix &amp; imputed [2,190,779]</t>
  </si>
  <si>
    <t>Bone mineral density in premenopausal women</t>
  </si>
  <si>
    <t>Quantitative trait(s);Bone-related;Aging;Gender;Female;Menopause</t>
  </si>
  <si>
    <t>Meta-analysis of genome-wide studies identifies WNT16 and ESR1 SNPs associated with bone mineral density in premenopausal women.</t>
  </si>
  <si>
    <t>4061 individuals</t>
  </si>
  <si>
    <t>5597 individuals</t>
  </si>
  <si>
    <t>Illumina, Affymetrix, &amp; imputed [2,543,887]</t>
  </si>
  <si>
    <t>Zheng</t>
  </si>
  <si>
    <t>Bone mineral density of forearm</t>
  </si>
  <si>
    <t>Meta-analysis of genome-wide studies identifies MEF2C SNPs associated with bone mineral density at forearm.</t>
  </si>
  <si>
    <t>5,866 European ancestry individuals</t>
  </si>
  <si>
    <t>715 Mexican American individuals</t>
  </si>
  <si>
    <t>Estrada</t>
  </si>
  <si>
    <t>Bone mineral density, low-trauma fracture</t>
  </si>
  <si>
    <t>Genome-wide meta-analysis identifies 56 bone mineral density loci and reveals 14 loci associated with risk of fracture.</t>
  </si>
  <si>
    <t>Up to 32,961 European and East Asian ancestry individuals</t>
  </si>
  <si>
    <t>Up to 50,933 European and East Asian ancestry individuals</t>
  </si>
  <si>
    <t>Bone size and body lean mass</t>
  </si>
  <si>
    <t>Suggestion of GLYAT gene underlying variation of bone size and body lean mass as revealed by a bivariate genome-wide association study.</t>
  </si>
  <si>
    <t>1,627 Han Chinese individuals</t>
  </si>
  <si>
    <t>2,286 European ancestry individuals</t>
  </si>
  <si>
    <t>Affymetrix [689,368]</t>
  </si>
  <si>
    <t>Bone thickness, bone strength, osteoporotic fracture risk</t>
  </si>
  <si>
    <t>Quantitative trait(s);Bone-related;Aging;Arthritis</t>
  </si>
  <si>
    <t>WNT16 influences bone mineral density, cortical bone thickness, bone strength, and osteoporotic fracture risk.</t>
  </si>
  <si>
    <t>5672 European ancestry individuals</t>
  </si>
  <si>
    <t>Boraska</t>
  </si>
  <si>
    <t>Brachial circumference</t>
  </si>
  <si>
    <t>Quantitative trait(s);Musculoskeletal;Muscle-related;Adipose-related</t>
  </si>
  <si>
    <t>Genome-wide association study to identify common variants associated with brachial circumference: a meta-analysis of 14 cohorts.</t>
  </si>
  <si>
    <t>18,753 European ancestry individuals</t>
  </si>
  <si>
    <t>3,623 European ancestry individuals</t>
  </si>
  <si>
    <t>Affymetrix &amp; Illumina [2,238,430] (imputed)</t>
  </si>
  <si>
    <t>Brown</t>
  </si>
  <si>
    <t>Brain activation patterns in response to human facial expressions</t>
  </si>
  <si>
    <t>Genetic variants affecting the neural processing of human facial expressions: evidence using a genome-wide functional imaging approach.</t>
  </si>
  <si>
    <t>246 European ancestry individuals</t>
  </si>
  <si>
    <t>85 European ancestry individuals</t>
  </si>
  <si>
    <t>Affymetrix [549,640]</t>
  </si>
  <si>
    <t>Brain Aβ levels</t>
  </si>
  <si>
    <t>Neuro;Alzheimer's disease;Quantitative trait(s);Imaging</t>
  </si>
  <si>
    <t>APOE and BCHE as modulators of cerebral amyloid deposition: a florbetapir PET genome-wide association study.</t>
  </si>
  <si>
    <t>555 European ancestry individuals</t>
  </si>
  <si>
    <t>Illumina [6,108,668] (imputed)</t>
  </si>
  <si>
    <t>Brain microstructure; intellectual performance</t>
  </si>
  <si>
    <t>Neuro;Cognition;Aging;Imaging;Quantitative trait(s)</t>
  </si>
  <si>
    <t>J Neurosci</t>
  </si>
  <si>
    <t>Gene network effects on brain microstructure and intellectual performance identified in 472 twins.</t>
  </si>
  <si>
    <t>472 individuals</t>
  </si>
  <si>
    <t>Illumina [529,497]</t>
  </si>
  <si>
    <t>Jahanshad</t>
  </si>
  <si>
    <t>Brain neural connectivity</t>
  </si>
  <si>
    <t>Proc IEEE Int Symp Biomed Imaging</t>
  </si>
  <si>
    <t>DISCOVERY OF GENES THAT AFFECT HUMAN BRAIN CONNECTIVITY: A GENOME-WIDE ANALYSIS OF THE CONNECTOME.</t>
  </si>
  <si>
    <t>366 individuals</t>
  </si>
  <si>
    <t>Illumina [428,287]</t>
  </si>
  <si>
    <t>Genome-wide scan of healthy human connectome discovers SPON1 gene variant influencing dementia severity.</t>
  </si>
  <si>
    <t>331 European ancestry individuals</t>
  </si>
  <si>
    <t>Lopez</t>
  </si>
  <si>
    <t>Brain white matter integrity</t>
  </si>
  <si>
    <t>Quantitative trait(s);Neuro;Imaging</t>
  </si>
  <si>
    <t>A genome-wide search for genetic influences and biological pathways related to the brain's white matter integrity.</t>
  </si>
  <si>
    <t>535 European ancestry individuals</t>
  </si>
  <si>
    <t>Illumina [542,050]</t>
  </si>
  <si>
    <t>Couch</t>
  </si>
  <si>
    <t>Breast and ovarian cancer risk in BRCA1 carriers</t>
  </si>
  <si>
    <t>Cancer;Breast cancer;Ovarian cancer;Reproductive;Gender;Female</t>
  </si>
  <si>
    <t>Genome-wide association study in BRCA1 mutation carriers identifies novel loci associated with breast and ovarian cancer risk.</t>
  </si>
  <si>
    <t>1,426 European ancestry cases, 1,301 European ancestry controls</t>
  </si>
  <si>
    <t>6,031 European ancestry cases, 5,933 European ancestry controls</t>
  </si>
  <si>
    <t>Illumina [2,568,349] (imputed)</t>
  </si>
  <si>
    <t>Song</t>
  </si>
  <si>
    <t>A genome-wide scan for breast cancer risk haplotypes among African American women.</t>
  </si>
  <si>
    <t>3,016 African American cases; 2,745 African American controls</t>
  </si>
  <si>
    <t>Illumina [1,006,480]</t>
  </si>
  <si>
    <t>Sapkota</t>
  </si>
  <si>
    <t>A two-stage association study identifies methyl-CpG-binding domain protein 2 gene polymorphisms as candidates for breast cancer susceptibility.</t>
  </si>
  <si>
    <t>302 cases, 321 controls Caucasian</t>
  </si>
  <si>
    <t>1178 cases, 1314 controls</t>
  </si>
  <si>
    <t>Affymetrix[782,838]</t>
  </si>
  <si>
    <t>Genome-wide association study in East asians identifies novel susceptibility Loci for breast cancer.</t>
  </si>
  <si>
    <t>2,918 Chinese ancestry cases, 2,324 Chinese ancestry controls</t>
  </si>
  <si>
    <t>Up to 6,838 Chinese ancestry cases, Up to 6,888 Chinese ancestry controls, Up to 1,297 Han Chinese ancestry cases, Up to 1,585 Han Chinese ancestry controls, Up to 1,066 Taiwan Chinese cases, Up to 1,065 Taiwan Chinese controls, Up to 5,038 Korean ancestry cases, Up to 6,869 Korean ancestry controls, Up to 1,934 Japanese ancestry cases, Up to 1,875 Japanese ancestry controls</t>
  </si>
  <si>
    <t>Affymetrix [690,947]</t>
  </si>
  <si>
    <t>A genome-wide association study of breast cancer in women of African ancestry.</t>
  </si>
  <si>
    <t>3,016 African American cases, 2,745 African American controls</t>
  </si>
  <si>
    <t>3,533 African ancestry cases, 11,046 African ancestry controls</t>
  </si>
  <si>
    <t>Illumina [2,067,098] (imputed)</t>
  </si>
  <si>
    <t>A genome-wide association study identifies a breast cancer risk variant in ERBB4 at 2q34: results from the Seoul Breast Cancer Study.</t>
  </si>
  <si>
    <t>2,273 Korean ancestry cases, 2,052 Korean ancestry controls</t>
  </si>
  <si>
    <t xml:space="preserve">4,049 Korean ancestry cases, 3,845 Korean ancestry controls </t>
  </si>
  <si>
    <t>Affymetrix [555,525]</t>
  </si>
  <si>
    <t>Siddiq</t>
  </si>
  <si>
    <t>A meta-analysis of genome-wide association studies of breast cancer identifies two novel susceptibility loci at 6q14 and 20q11.</t>
  </si>
  <si>
    <t>3,666 European ancestry cases, 28,864 European ancestry controls, 1,004 African American cases, 2,744 African American controls</t>
  </si>
  <si>
    <t>562 European ancestry cases, 6,410 European ancestry controls, 84 Japanese ancestry cases, 830 Japanese ancestry controls, 300 Latino cases, 1,164 Latino controls</t>
  </si>
  <si>
    <t>Illumina [2,608,509] (imputed)</t>
  </si>
  <si>
    <t>Michaillidou</t>
  </si>
  <si>
    <t>Large-scale genotyping identifies 41 new loci associated with breast cancer risk.</t>
  </si>
  <si>
    <t>10,052 European ancestry cases, 12,575 European ancestry controls</t>
  </si>
  <si>
    <t>45,290 European ancestry cases, 41,880 European ancestry controls</t>
  </si>
  <si>
    <t>Illumina &amp; Affymetrix [~2.6 million] (imputed)</t>
  </si>
  <si>
    <t>Fejerman</t>
  </si>
  <si>
    <t>Admixture mapping identifies a locus on 6q25 associated with breast cancer risk in US Latinas.</t>
  </si>
  <si>
    <t>1497 cases, 1272 controls US Latinas</t>
  </si>
  <si>
    <t>Affymetrix and Illumina[59,211]</t>
  </si>
  <si>
    <t>Breast cancer (ER-positive) and post-menopausal estradiol concentrations, in plasma</t>
  </si>
  <si>
    <t>Quantitative trait(s);Blood-related;Plasma;Cancer;Breast cancer;Gender;Female;Menopause;Hormonal</t>
  </si>
  <si>
    <t>Mol Endocrinol</t>
  </si>
  <si>
    <t>TSPYL5 SNPs: association with plasma estradiol concentrations and aromatase expression.</t>
  </si>
  <si>
    <t>700 European ancestry cases, 50 African ancestry cases, 17 Asian ancestry cases, 5 American Indian cases</t>
  </si>
  <si>
    <t>Illumina [563,945]</t>
  </si>
  <si>
    <t>Genome-wide testing of putative functional exonic variants in relationship with breast and prostate cancer risk in a multiethnic population.</t>
  </si>
  <si>
    <t>3141 breast cancer cases and 3568 controlos; 4376 prostate cancer cases and 3977 controls</t>
  </si>
  <si>
    <t>Illumina [245,339]</t>
  </si>
  <si>
    <t>Orr</t>
  </si>
  <si>
    <t>Breast cancer in males</t>
  </si>
  <si>
    <t>Cancer;Breast cancer;Gender;Male</t>
  </si>
  <si>
    <t>Genome-wide association study identifies a common variant in RAD51B associated with male breast cancer risk.</t>
  </si>
  <si>
    <t>823 European ancestry cases, 2,795 European ancestry controls</t>
  </si>
  <si>
    <t>438 European ancestry cases, 474 European ancestry controls</t>
  </si>
  <si>
    <t>Illumina [447,760]</t>
  </si>
  <si>
    <t>Rinella</t>
  </si>
  <si>
    <t>Breast cancer risk in Ashkenazi Jewish women without BRCA1/2 mutations</t>
  </si>
  <si>
    <t>Genetic variants associated with breast cancer risk for Ashkenazi Jewish women with strong family histories but no identifiable BRCA1/2 mutation.</t>
  </si>
  <si>
    <t>477 Ashkenazi Jewish cases, 524 Ashkenazi Jewish controls</t>
  </si>
  <si>
    <t>203 Ashkenazi Jewish cases, 263 Ashkenazi Jewish contols</t>
  </si>
  <si>
    <t>Affymetrix [435,632]</t>
  </si>
  <si>
    <t>Hein</t>
  </si>
  <si>
    <t>Breast cancer risk related to menopausal hormone therapy</t>
  </si>
  <si>
    <t>Cancer;Breast cancer;Gender;Female;Menopause;Drug response</t>
  </si>
  <si>
    <t>A genome-wide association study to identify genetic susceptibility loci that modify ductal and lobular postmenopausal breast cancer risk associated with menopausal hormone therapy use: a two-stage design with replication.</t>
  </si>
  <si>
    <t>731 European ancestry cases</t>
  </si>
  <si>
    <t>7,965 European and East Asian ancestry cases, 8,128 European and East Asian ancestry controls</t>
  </si>
  <si>
    <t>Illumina [316,974]</t>
  </si>
  <si>
    <t>Novel Genetic Markers of Breast Cancer Survival Identified by a Genome-Wide Association Study.</t>
  </si>
  <si>
    <t>1,950 Chinese cases</t>
  </si>
  <si>
    <t>4,160 Chinese cases</t>
  </si>
  <si>
    <t>Affymetrix [613,031]</t>
  </si>
  <si>
    <t>Rafiq</t>
  </si>
  <si>
    <t>Breast cancer survival (early-onset breast cancer)</t>
  </si>
  <si>
    <t>Cancer;Breast cancer;Developmental;Mortality;Gender;Female</t>
  </si>
  <si>
    <t>Identification of inherited genetic variations influencing prognosis in early-onset breast cancer.</t>
  </si>
  <si>
    <t>536 Other ancestry early-onset cases</t>
  </si>
  <si>
    <t>1,516 Other ancestry early-onset cases</t>
  </si>
  <si>
    <t>Illumina [487,496]</t>
  </si>
  <si>
    <t>Genome-wide association studies identify four ER negative-specific breast cancer risk loci.</t>
  </si>
  <si>
    <t>4,193 European ancestry cases, 35,194 European ancestry controls</t>
  </si>
  <si>
    <t>6,514 European ancestry cases, 41,455 European ancestry controls</t>
  </si>
  <si>
    <t>Elgazzar</t>
  </si>
  <si>
    <t>Breast cancer, hormonal receptor-positive</t>
  </si>
  <si>
    <t>A genome-wide association study identifies a genetic variant in the SIAH2 locus associated with hormonal receptor-positive breast cancer in Japanese.</t>
  </si>
  <si>
    <t>1,086 Japanese ancestry cases, 1,816 Japanese ancestry controls</t>
  </si>
  <si>
    <t>1,653 Japanese ancestry cases, 2,797 Japanese ancestry controls</t>
  </si>
  <si>
    <t>Illumina [453,627]</t>
  </si>
  <si>
    <t>Erikkson</t>
  </si>
  <si>
    <t>Breast size</t>
  </si>
  <si>
    <t>Quantitative trait(s);Cancer-related;Gender;Developmental;Female</t>
  </si>
  <si>
    <t>Genetic variants associated with breast size also influence breast cancer risk</t>
  </si>
  <si>
    <t>16,175 European ancestry women</t>
  </si>
  <si>
    <t>Illumina [7,422,970]</t>
  </si>
  <si>
    <t>Byrne</t>
  </si>
  <si>
    <t>Caffeine-induced insomnia</t>
  </si>
  <si>
    <t>Neuro;Addiction;Diet-related;Sleep</t>
  </si>
  <si>
    <t>Sleep</t>
  </si>
  <si>
    <t>A genome-wide association study of caffeine-related sleep disturbance: confirmation of a role for a common variant in the adenosine receptor</t>
  </si>
  <si>
    <t>2,402 Australians of European ancestry</t>
  </si>
  <si>
    <t>Illumina [2,340,486] (imputed)</t>
  </si>
  <si>
    <t>Cannabis use initiation</t>
  </si>
  <si>
    <t>The genetic aetiology of cannabis use initiation: a meta-analysis of genome-wide association studies and a SNP-based heritability estimation.</t>
  </si>
  <si>
    <t>10,091 individuals from 4,622 families</t>
  </si>
  <si>
    <t>Illumina [~2.4 million] (imputed)</t>
  </si>
  <si>
    <t>Capecitabine sensitivity</t>
  </si>
  <si>
    <t>Drug response;Cancer-related;Cell line;Blood-related</t>
  </si>
  <si>
    <t>Identification of novel germline polymorphisms governing capecitabine sensitivity.</t>
  </si>
  <si>
    <t>Up to 84 East Asian ancestry lymphoblastoid cell lines, Up to 164 European ancestry lymphoblastoid cell lines, Up to 173 African ancestry lymphoblastoid cell lines, Up to 82 African American lymphoblastoid cell lines</t>
  </si>
  <si>
    <t>Cardiac structure and systolic function</t>
  </si>
  <si>
    <t>Genome-wide association study of cardiac structure and systolic function in African Americans: the Candidate Gene Association Resource (CARe) study.</t>
  </si>
  <si>
    <t>6,765 African American individuals</t>
  </si>
  <si>
    <t>2,468 African American individuals, 12,612 European ancestry individuals</t>
  </si>
  <si>
    <t>Melton</t>
  </si>
  <si>
    <t>Carotid artery intimal-media thickness</t>
  </si>
  <si>
    <t>Genetic architecture of carotid artery intima-media thickness in Mexican Americans.</t>
  </si>
  <si>
    <t>772 in 29 extended Mexican-American families</t>
  </si>
  <si>
    <t>Illumina [931,219]</t>
  </si>
  <si>
    <t>Gertow</t>
  </si>
  <si>
    <t>Identification of the BCAR1-CFDP1-TMEM170A locus as a determinant of carotid intima-media thickness and coronary artery disease risk.</t>
  </si>
  <si>
    <t>3430 EA individuals</t>
  </si>
  <si>
    <t>11,588 EA individuals</t>
  </si>
  <si>
    <t>Illumina [127,830]</t>
  </si>
  <si>
    <t>Cataracts (diabetic cataract)</t>
  </si>
  <si>
    <t>Ophthalmic Genet</t>
  </si>
  <si>
    <t>Novel susceptibility genes associated with diabetic cataract in a Taiwanese population.</t>
  </si>
  <si>
    <t>109 Han Chinese ancestry cases, 649 Han Chinese ancestry controls</t>
  </si>
  <si>
    <t>Illumina [517,401]</t>
  </si>
  <si>
    <t>Jylhava</t>
  </si>
  <si>
    <t>Cell-Free DNA, serum</t>
  </si>
  <si>
    <t>A genome-wide association study identifies UGT1A1 as a regulator of serum cell-free DNA in young adults: The Cardiovascular Risk in Young Finns Study.</t>
  </si>
  <si>
    <t>1,841 individuals</t>
  </si>
  <si>
    <t>Illumina [2,543,887] (imputed)</t>
  </si>
  <si>
    <t>Gao</t>
  </si>
  <si>
    <t>Central corneal thickness</t>
  </si>
  <si>
    <t>A genome-wide association study of central corneal thickness in Latinos.</t>
  </si>
  <si>
    <t>1,644 Latino individuals</t>
  </si>
  <si>
    <t>124 Latino individuals</t>
  </si>
  <si>
    <t>Illumina [6,290,547] imputed</t>
  </si>
  <si>
    <t>Hoehn</t>
  </si>
  <si>
    <t>Population-based meta-analysis in Caucasians confirms association with COL5A1 and ZNF469 but not COL8A2 with central corneal thickness.</t>
  </si>
  <si>
    <t>3,931 European ancestry individuals</t>
  </si>
  <si>
    <t>1,418 European ancestry individuals</t>
  </si>
  <si>
    <t>Central corneal thickness and keratoconus</t>
  </si>
  <si>
    <t>Genome-wide association analyses identify multiple loci associated with central corneal thickness and keratoconus.</t>
  </si>
  <si>
    <t>13,057 European ancestry individuals, 2,538 Indian ancestry individuals, 2,542 Malay ancestry individuals, 1,883 Chinese ancestry individuals</t>
  </si>
  <si>
    <t>Illumina &amp; Affymetrix [~1 million] (imputed)</t>
  </si>
  <si>
    <t>Cruchaga</t>
  </si>
  <si>
    <t>Cerebrospinal fluid tau</t>
  </si>
  <si>
    <t>GWAS of cerebrospinal fluid tau levels identifies risk variants for Alzheimer's disease.</t>
  </si>
  <si>
    <t>591 European ancestry cases, 687 European ancestry controls</t>
  </si>
  <si>
    <t>Illumina [5,815,690] (imputed)</t>
  </si>
  <si>
    <t>Genome-wide association study of susceptibility loci for cervical cancer.</t>
  </si>
  <si>
    <t>1,034 European ancestry cases, 3,948 European ancestry controls</t>
  </si>
  <si>
    <t>1,140 European ancestry cases, 1,058 European ancestry controls</t>
  </si>
  <si>
    <t>Illumina [632,668]</t>
  </si>
  <si>
    <t>Chewing tobacco associated oral cancers</t>
  </si>
  <si>
    <t>Cancer;Oral cancer;Neuro;Addiction;Oral-related</t>
  </si>
  <si>
    <t>Oral Oncol</t>
  </si>
  <si>
    <t>Genome-wide disease association study in chewing tobacco associated oral cancers.</t>
  </si>
  <si>
    <t>55 South Asian ancestry cases, 92 South Asian ancestry controls</t>
  </si>
  <si>
    <t>Illumina [316,018]</t>
  </si>
  <si>
    <t>Using multiple measures for quantitative trait association analyses: application to estimated glomerular filtration rate.</t>
  </si>
  <si>
    <t>9,049 European ancestry individuals</t>
  </si>
  <si>
    <t>Affymetrix [&gt;2.5 million] imputed</t>
  </si>
  <si>
    <t>Integration of genome-wide association studies with biological knowledge identifies six novel genes related to kidney function.</t>
  </si>
  <si>
    <t>21940 EA individuals</t>
  </si>
  <si>
    <t>108660 EA individuals</t>
  </si>
  <si>
    <t>Identification of chromosome 3q28 and ALPK1 as susceptibility loci for chronic kidney disease in Japanese individuals by a genome-wide association study.</t>
  </si>
  <si>
    <t>252 Japanese ancestry cases, 249 Japanese ancestry controls</t>
  </si>
  <si>
    <t>1,100 Japanese ancestry cases, 2,250 Japanese ancestry controls</t>
  </si>
  <si>
    <t>Illumina [297,707]</t>
  </si>
  <si>
    <t>Genome-wide association and functional follow-up reveals new loci for kidney function.</t>
  </si>
  <si>
    <t>74,354  European ancestry individuals</t>
  </si>
  <si>
    <t>56,246 European ancestry individuals</t>
  </si>
  <si>
    <t>Meta-analysis identifies multiple loci associated with kidney function-related traits in east Asian populations.</t>
  </si>
  <si>
    <t>39,717 East Asian ancestry individuals</t>
  </si>
  <si>
    <t>17,461 East Asian ancestry individuals</t>
  </si>
  <si>
    <t>Affymetrix &amp; Illumina [2,281,523] (imputed)</t>
  </si>
  <si>
    <t>Chronic widespread pain</t>
  </si>
  <si>
    <t>Neuro;Pain</t>
  </si>
  <si>
    <t>Genome-wide association study meta-analysis of chronic widespread pain: evidence for involvement of the 5p15.2 region.</t>
  </si>
  <si>
    <t>1,308 European ancestry female cases, 5,791 European ancestry female controls</t>
  </si>
  <si>
    <t>1,480 European ancestry female cases, 7,989 European ancestry female controls</t>
  </si>
  <si>
    <t>Illumina [2,224,068](imputed)</t>
  </si>
  <si>
    <t>Hiraki</t>
  </si>
  <si>
    <t>Circulating 25-hydroxyvitamin D</t>
  </si>
  <si>
    <t>Exploring the genetic architecture of circulating 25-hydroxyvitamin D.</t>
  </si>
  <si>
    <t>5575 individuals</t>
  </si>
  <si>
    <t>Illumina, Affymetrix, &amp; imputed [359,928]</t>
  </si>
  <si>
    <t>Circulating estradiol, testosterone, and sex hormone-binding globulin in postmenopausal women</t>
  </si>
  <si>
    <t>Quantitative trait(s);Blood-related;Hormonal;Gender;Female;Reproductive;Menopause</t>
  </si>
  <si>
    <t>Genome-wide association study of circulating estradiol, testosterone, and sex hormone-binding globulin in postmenopausal women.</t>
  </si>
  <si>
    <t>1,583 European ancestry females</t>
  </si>
  <si>
    <t>de Boer</t>
  </si>
  <si>
    <t>Circulating galectin-3 levels</t>
  </si>
  <si>
    <t>A genome-wide association study of circulating galectin-3.</t>
  </si>
  <si>
    <t>3,776 European ancestry individuals</t>
  </si>
  <si>
    <t>3,516 individuals</t>
  </si>
  <si>
    <t>Illumina [2,269,099] (imputed)</t>
  </si>
  <si>
    <t>Froguel</t>
  </si>
  <si>
    <t>Circulating haptoglobin levels</t>
  </si>
  <si>
    <t>Quantitative trait(s);Blood-related;Inflammation</t>
  </si>
  <si>
    <t>A Genome-Wide Association Study Identifies rs2000999 as a Strong Genetic Determinant of Circulating Haptoglobin Levels.</t>
  </si>
  <si>
    <t>631 European ancestry children</t>
  </si>
  <si>
    <t>2,957 European ancestry family members, 1,434 European ancestry individuals</t>
  </si>
  <si>
    <t>Illumina [318,237]</t>
  </si>
  <si>
    <t>Circulating levels of plasminogen activator inhibitor-1 (PAI-1)</t>
  </si>
  <si>
    <t>Genome-wide association study for circulating levels of PAI-1 provides novel insights into its regulation.</t>
  </si>
  <si>
    <t>19,599 European ancestry individuals</t>
  </si>
  <si>
    <t>10,764 European ancestry individuals</t>
  </si>
  <si>
    <t>Affymetrix &amp; Illumina [2,445,683] (imputed)</t>
  </si>
  <si>
    <t>Chernogubova</t>
  </si>
  <si>
    <t>Circulating PCSK9 Levels</t>
  </si>
  <si>
    <t>Quantitative trait(s);Blood-related;CVD risk factor (CVD RF);Lipids</t>
  </si>
  <si>
    <t>Common and low-frequency genetic variants in the PCSK9 locus influence circulating PCSK9 levels.</t>
  </si>
  <si>
    <t>1215 individuals</t>
  </si>
  <si>
    <t>4507 individuals</t>
  </si>
  <si>
    <t>Circulating phospho- and sphingolipid concentrations</t>
  </si>
  <si>
    <t>Quantitative trait(s);Blood-related;Plasma;Lipids</t>
  </si>
  <si>
    <t>Genome-wide association study identifies novel loci associated with circulating phospho- and sphingolipid concentrations.</t>
  </si>
  <si>
    <t>4,034 European ancestry individuals</t>
  </si>
  <si>
    <t>Circulating resistin levels</t>
  </si>
  <si>
    <t>Genome-wide association analysis identifies TYW3/CRYZ and NDST4 loci associated with circulating resistin levels.</t>
  </si>
  <si>
    <t>3,248 European ancestry individuals</t>
  </si>
  <si>
    <t>659 European ancestry individuals</t>
  </si>
  <si>
    <t>Affymetrix &amp; Illumina [2,543,887] (imputed)</t>
  </si>
  <si>
    <t>Circulating vitamin D levels in children with asthma</t>
  </si>
  <si>
    <t>Quantitative trait(s);Blood-related;Asthma;Pulmonary;Chronic lung disease;Inflammation</t>
  </si>
  <si>
    <t>Genome-wide association analysis of circulating vitamin D levels in children with asthma.</t>
  </si>
  <si>
    <t>422 European ancestry trios with asthmatic children, 150 European ancestry asthmatic child cases</t>
  </si>
  <si>
    <t>1,108 Hispanic asthmatic child cases</t>
  </si>
  <si>
    <t>Illumina [547,645]</t>
  </si>
  <si>
    <t>Ludwig</t>
  </si>
  <si>
    <t>Cleft lip (nonsyndromic cleft lip)</t>
  </si>
  <si>
    <t>Genome-wide meta-analyses of nonsyndromic cleft lip with or without cleft palate identify six new risk loci.</t>
  </si>
  <si>
    <t>Up to 666 European ancestry trios, 399 European ancestry cases, 1,318 European ancestry controls</t>
  </si>
  <si>
    <t>Up to 795 East Asian ancestry trios</t>
  </si>
  <si>
    <t>Williams</t>
  </si>
  <si>
    <t>Coagulation factors and fibrin factor levels and ischemic stroke</t>
  </si>
  <si>
    <t>Quantitative trait(s);Blood-related;Cardiovascular disease (CVD);Stroke;Neuro</t>
  </si>
  <si>
    <t>Ischemic stroke is associated with the ABO locus: the EuroCLOT study.</t>
  </si>
  <si>
    <t>2,100 European ancestry individuals</t>
  </si>
  <si>
    <t>Cognition (childhood intelligence)</t>
  </si>
  <si>
    <t>Neuro;Cognition;Behavioral;Developmental</t>
  </si>
  <si>
    <t>Childhood intelligence is heritable, highly polygenic and associated with FNBP1L.</t>
  </si>
  <si>
    <t>12,441 European ancestry children</t>
  </si>
  <si>
    <t>5,548 European ancestry children</t>
  </si>
  <si>
    <t>Illumina &amp; Affymetrix [138,093] (imputed)</t>
  </si>
  <si>
    <t>Cognitive decline (nonpathological)</t>
  </si>
  <si>
    <t>A genome-wide association study implicates the APOE locus in nonpathological cognitive ageing.</t>
  </si>
  <si>
    <t>3,280 European ancestry individuals</t>
  </si>
  <si>
    <t>1,367 European ancestry individuals</t>
  </si>
  <si>
    <t>Illumina [549,692]</t>
  </si>
  <si>
    <t>Cognitive decline (rate in Alzheimer's disease)</t>
  </si>
  <si>
    <t>Neuro;Alzheimer's disease;Cognition;Aging</t>
  </si>
  <si>
    <t>Alzheimers Dement</t>
  </si>
  <si>
    <t>Genome-wide association study of the rate of cognitive decline in Alzheimer's disease.</t>
  </si>
  <si>
    <t>303 European ancestry cases</t>
  </si>
  <si>
    <t>Dube</t>
  </si>
  <si>
    <t>Cognitive impairment without dementia</t>
  </si>
  <si>
    <t>Genetic determinants of "cognitive impairment, no dementia".</t>
  </si>
  <si>
    <t>274 cases and 301 controls</t>
  </si>
  <si>
    <t>210 cases and 158 controls</t>
  </si>
  <si>
    <t>Illumina {~200,000]</t>
  </si>
  <si>
    <t>Colorectal adenomas</t>
  </si>
  <si>
    <t>Cancer-related;Colorectal cancer</t>
  </si>
  <si>
    <t>Genome-wide association study identifies possible genetic risk factors for colorectal adenomas.</t>
  </si>
  <si>
    <t>958 EA Cases and 909 EA Controls</t>
  </si>
  <si>
    <t>1,593 EA Cases and 2,376 EA Controls</t>
  </si>
  <si>
    <t>Affymetrix &amp; imputed [402,326]</t>
  </si>
  <si>
    <t>Colorectal and prostate cancer risk</t>
  </si>
  <si>
    <t>Cancer;Colorectal cancer;Prostate cancer;Gender;Male;Reproductive</t>
  </si>
  <si>
    <t>Pooled sample-based GWAS: a cost-effective alternative for identifying colorectal and prostate cancer risk variants in the Polish population.</t>
  </si>
  <si>
    <t>135 prostate cancer cases and 270 controls; 525 adenoma/630 colorectal cancer cases and 690 controls (shared)</t>
  </si>
  <si>
    <t>447 prostate cancer cases and 800 controls; 945 adenoma/889 colorectal cancer cases and 2188 shared ocntrols</t>
  </si>
  <si>
    <t>Fernandez-Rozadilla</t>
  </si>
  <si>
    <t>A colorectal cancer genome-wide association study in a Spanish cohort identifies two variants associated with colorectal cancer risk at 1p33 and 8p12.</t>
  </si>
  <si>
    <t>882 European ancestry cases, 473 European ancestry controls</t>
  </si>
  <si>
    <t>1,436 European ancestry cases, 1,780 European ancestry controls</t>
  </si>
  <si>
    <t>Affymetrix [674,718]</t>
  </si>
  <si>
    <t>Jia</t>
  </si>
  <si>
    <t>Genome-wide association analyses in East Asians identify new susceptibility loci for colorectal cancer.</t>
  </si>
  <si>
    <t>2,098 East Asian ancestry cases, 5,749 East Asian ancestry controls</t>
  </si>
  <si>
    <t>5,358 East Asian ancestry cases, 5,922 East Asian ancestry controls, 26,060 European ancestry individuals</t>
  </si>
  <si>
    <t>Illumina &amp; Affymetrix [1,636,380] imputed</t>
  </si>
  <si>
    <t>Dunlop</t>
  </si>
  <si>
    <t>Common variation near CDKN1A, POLD3 and SHROOM2 influences colorectal cancer risk.</t>
  </si>
  <si>
    <t>8,323 European ancestry cases, 9,457 European ancestry controls</t>
  </si>
  <si>
    <t>19,513 European ancestry cases, 17,657 European ancestry controls, 1,583 Japanese ancestry cases, 1,898 Japanese ancestry controls</t>
  </si>
  <si>
    <t>Identification of Genetic Susceptibility Loci for Colorectal Tumors in a Genome-Wide Meta-analysis.</t>
  </si>
  <si>
    <t>12,696 European ancestry colorectal tumor cases, and 15,113 European ancestry controls</t>
  </si>
  <si>
    <t>958 European ancestry colorectal tumor cases, Up to 2,098 East Asian ancestry colorectal tumor cases, 909 European ancestry controls, Up to 5,749 East Asian ancestry controls</t>
  </si>
  <si>
    <t>Illumina &amp; Affymetrix [2,708,280] imputed</t>
  </si>
  <si>
    <t>Complement c3 and c4, serum</t>
  </si>
  <si>
    <t>Quantitative trait(s);Blood-related;Serum;Immune-related</t>
  </si>
  <si>
    <t>Genome-wide association study for serum complement C3 and C4 levels in healthy Chinese subjects.</t>
  </si>
  <si>
    <t>1,999 Han Chinese ancestry males</t>
  </si>
  <si>
    <t>1,496 Han Chinese ancestry males</t>
  </si>
  <si>
    <t>Illumina [1,940,245] (imputed)</t>
  </si>
  <si>
    <t>Compressive strength index (CSI) and appendicular lean mass (ALM)</t>
  </si>
  <si>
    <t>Quantitative trait(s);Bone-related;Aging;Musculoskeletal;Muscle-related;Weight</t>
  </si>
  <si>
    <t>Bone</t>
  </si>
  <si>
    <t>Bivariate genome-wide association study suggests fatty acid desaturase genes and cadherin DCHS2 for variation of both compressive strength index and appendicular lean mass in males.</t>
  </si>
  <si>
    <t>825 Chinese ancestry females, 802 Chinese ancestry males</t>
  </si>
  <si>
    <t>1,059 European ancestry males, 2,227 European ancestry females</t>
  </si>
  <si>
    <t>Affymetrix [701,525]</t>
  </si>
  <si>
    <t>Concentrations of cancer antigen 19-9 (CA19-9), carcinoembryonic antigen (CEA) and α fetoprotein (AFP)</t>
  </si>
  <si>
    <t>Quantitative trait(s);Blood-related;Cancer-related</t>
  </si>
  <si>
    <t>A genome wide association study of genetic loci that influence tumour biomarkers cancer antigen 19-9, carcinoembryonic antigen and &amp;#x003b1; fetoprotein and their associations with cancer risk.</t>
  </si>
  <si>
    <t>3,451 Han Chinese ancestry individuals</t>
  </si>
  <si>
    <t>10,326 Chinese ancestry individuals</t>
  </si>
  <si>
    <t>Wakai</t>
  </si>
  <si>
    <t>Confectionary intake</t>
  </si>
  <si>
    <t>Diet-related</t>
  </si>
  <si>
    <t>Genome-wide association study of genetic factors related to confectionery intake: potential roles of the ADIPOQ gene.</t>
  </si>
  <si>
    <t>939 Japanese ancestry individuals</t>
  </si>
  <si>
    <t>4,491 Japanese ancestry individuals</t>
  </si>
  <si>
    <t>Illumina [491,738]</t>
  </si>
  <si>
    <t>Congenital heart malformations (sporadic non-syndromic)</t>
  </si>
  <si>
    <t>Heart;Congenital</t>
  </si>
  <si>
    <t>A genome-wide association study identifies two risk loci for congenital heart malformations in Han Chinese populations.</t>
  </si>
  <si>
    <t>945 Han Chinese ancestry cases, 1,246 Han Chinese ancestry controls</t>
  </si>
  <si>
    <t>2,160 Han Chinese ancestry cases, 3,866 Han Chinese ancestry controls</t>
  </si>
  <si>
    <t>Illumina [708,275]</t>
  </si>
  <si>
    <t>Congenital heart malformations (with septal, obstructive and cyanotic defects)</t>
  </si>
  <si>
    <t>Genome-wide association study of multiple congenital heart disease phenotypes identifies a susceptibility locus for atrial septal defect at chromosome 4p16.</t>
  </si>
  <si>
    <t>1,479 European ancestry congenital heart disease cases, 340 European ancestry ostium secundum atrial septal defect cases, 5,159 European ancestry controls</t>
  </si>
  <si>
    <t>417 European ancestry ostium secundum atrial septal defect cases, 209 European ancestry ventricular septal defect cases, 2,520 European ancestry controls</t>
  </si>
  <si>
    <t>Illumina [514,952]</t>
  </si>
  <si>
    <t>Evans</t>
  </si>
  <si>
    <t>Copper, selenium and zinc levels</t>
  </si>
  <si>
    <t>Genome-wide association study identifies loci affecting blood copper, selenium and zinc.</t>
  </si>
  <si>
    <t>2,603 European ancestry individuals</t>
  </si>
  <si>
    <t xml:space="preserve">Illumina [&gt;2.5 million] (imputed) </t>
  </si>
  <si>
    <t>Guggenheim</t>
  </si>
  <si>
    <t>A genome-wide association study for corneal curvature identifies the platelet-derived growth factor receptor &amp;#x003b1; gene as a quantitative trait locus for eye size in white Europeans.</t>
  </si>
  <si>
    <t>2,023 European ancestry children</t>
  </si>
  <si>
    <t>2,008 Chinese ancestry adults, 2,281 Malay ancestry adults, 2,142 Indian ancestry adults, 929 Chinese ancestry children</t>
  </si>
  <si>
    <t>Mishra</t>
  </si>
  <si>
    <t>Genetic variants near PDGFRA are associated with corneal curvature in Australians.</t>
  </si>
  <si>
    <t>1,788 European ancestry twins and family members, 1,013 European ancestry unrelated individuals</t>
  </si>
  <si>
    <t>Illumina [1,704,858] (imputed)</t>
  </si>
  <si>
    <t>van Setten</t>
  </si>
  <si>
    <t>Coronary artery and aortic artery calcification</t>
  </si>
  <si>
    <t>Genome-wide association study of coronary and aortic calcification implicates risk loci for coronary artery disease and myocardial infarction.</t>
  </si>
  <si>
    <t>2,620 European ancestry males</t>
  </si>
  <si>
    <t>Illumina [2.5 million] (imputed)</t>
  </si>
  <si>
    <t>Pechlivanis</t>
  </si>
  <si>
    <t>Risk loci for coronary artery calcification replicated at 9p21 and 6q24 in thevHeinz Nixdorf Recall Study.</t>
  </si>
  <si>
    <t>4518 individials</t>
  </si>
  <si>
    <t>Illumina [192,261]</t>
  </si>
  <si>
    <t>Ferguson</t>
  </si>
  <si>
    <t>J Am Coll Cardiol</t>
  </si>
  <si>
    <t>Candidate gene association study of coronary artery calcification in chronic kidney disease: findings from the CRIC study (Chronic Renal Insufficiency Cohort).</t>
  </si>
  <si>
    <t>856 EA and 653 African-American</t>
  </si>
  <si>
    <t>2842 EA and 502 African-American</t>
  </si>
  <si>
    <t>Illumina [~50,000]</t>
  </si>
  <si>
    <t>A Genome Wide Association Study for Coronary Artery Disease Identifies a Novel Susceptibility Locus in the Major Histocompatibility Complex.</t>
  </si>
  <si>
    <t>7,123 European ancestry cases, 6,826 European ancestry controls</t>
  </si>
  <si>
    <t>5,211 European ancestry cases, 5,821 European ancestry controls</t>
  </si>
  <si>
    <t>Affymetrix [~5 million] (imputed)</t>
  </si>
  <si>
    <t>A genome-wide association study of a coronary artery disease risk variant.</t>
  </si>
  <si>
    <t>2,123 Korean ancestry cases; 3,591 Korean ancestry controls</t>
  </si>
  <si>
    <t>3,052 Japanese ancestry cases; 4,976 Japanese ancestry controls</t>
  </si>
  <si>
    <t xml:space="preserve">Affymetrix [521,786] </t>
  </si>
  <si>
    <t>Genome-wide association study in Han Chinese identifies four new susceptibility loci for coronary artery disease</t>
  </si>
  <si>
    <t>6,534 Chinese ancestry samples</t>
  </si>
  <si>
    <t>26,932 Chinese ancestry samples</t>
  </si>
  <si>
    <t>Affymetrix [2,228,999] (imputed)</t>
  </si>
  <si>
    <t>CARDIoGRAMplusC4D Consortium</t>
  </si>
  <si>
    <t>Large-scale association analysis identifies new risk loci for coronary artery disease.</t>
  </si>
  <si>
    <t>63746 cases and 130681 controls</t>
  </si>
  <si>
    <t>3630 cases and 11983 controls</t>
  </si>
  <si>
    <t>Illumina, Affymetrix, &amp; imputed [79,138]</t>
  </si>
  <si>
    <t>Coronary artery lesions in Kawasaki disease</t>
  </si>
  <si>
    <t>Inflammation;Blood-related;Aneurysm;Arterial;Cardiovascular disease (CVD);Immune-related</t>
  </si>
  <si>
    <t>Identification of KCNN2 as a susceptibility locus for coronary artery aneurysms in Kawasaki disease using genome-wide association analysis.</t>
  </si>
  <si>
    <t>17 Korean ancestry cases, 123 Korean ancestry controls</t>
  </si>
  <si>
    <t>32 Korean ancestry cases, 191 Korean ancestry controls</t>
  </si>
  <si>
    <t>Affymetrix [652,397]</t>
  </si>
  <si>
    <t>Hager</t>
  </si>
  <si>
    <t>Coronary artery stenosis</t>
  </si>
  <si>
    <t>Cardiovascular disease (CVD);Myocardial infarction (MI);Arterial;Surgery</t>
  </si>
  <si>
    <t>Genome-Wide Association Study in a Lebanese Cohort Confirms PHACTR1 as a Major Determinant of Coronary Artery Stenosis</t>
  </si>
  <si>
    <t>1,949 Lebanese</t>
  </si>
  <si>
    <t>2,547 Lebanese</t>
  </si>
  <si>
    <t>Illumina [513,079]</t>
  </si>
  <si>
    <t>de Las Fuentes</t>
  </si>
  <si>
    <t>Pathway-based genome-wide association analysis of coronary heart disease identifies biologically important gene sets.</t>
  </si>
  <si>
    <t>6421 EA individuals</t>
  </si>
  <si>
    <t>Affymetrix [404,467]</t>
  </si>
  <si>
    <t>C-reactive protein (CRP)</t>
  </si>
  <si>
    <t>Quantitative trait(s);Cardiovascular disease (CVD);C-reactive protein (CRP);Blood-related</t>
  </si>
  <si>
    <t>Genome-wide association and population genetic analysis of C-reactive protein in African American and Hispanic American women.</t>
  </si>
  <si>
    <t>8,280 African American females, 3,548 Hispanic females</t>
  </si>
  <si>
    <t>3,787 African American females, 3,548 Hispanic females, 5,656 European ancestry individuals</t>
  </si>
  <si>
    <t>Affymetrix [Up to 2,203,609] (imputed)</t>
  </si>
  <si>
    <t>Doumatey</t>
  </si>
  <si>
    <t>C-reactive protein (CRP) promoter polymorphisms influence circulating CRP levels in a genome-wide association study of African Americans.</t>
  </si>
  <si>
    <t>837 African American individuals</t>
  </si>
  <si>
    <t>486 West African ancestry individuals</t>
  </si>
  <si>
    <t>Affymetrix [2,366,856] (imputed)</t>
  </si>
  <si>
    <t>C-reactive protein (CRP) and white blood cell (WBC)</t>
  </si>
  <si>
    <t>Quantitative trait(s);Cardiovascular disease (CVD);C-reactive protein (CRP);Blood-related;Immune-related</t>
  </si>
  <si>
    <t>Int J Immunogenet</t>
  </si>
  <si>
    <t>Genetic associations with C-reactive protein level and white blood cell count in the KARE study.</t>
  </si>
  <si>
    <t>8,722 individuals</t>
  </si>
  <si>
    <t>Affymetrix [1,701,735] (imputed)</t>
  </si>
  <si>
    <t>Julia</t>
  </si>
  <si>
    <t>A genome-wide association study on a southern European population identifies a new Crohn's disease susceptibility locus at RBX1-EP300.</t>
  </si>
  <si>
    <t>1,277 European ancestry cases, 1,488 European ancestry controls</t>
  </si>
  <si>
    <t>1,365 European ancestry cases, 1,396 European ancestry controls</t>
  </si>
  <si>
    <t>Illumina [508,934]</t>
  </si>
  <si>
    <t>Kenny</t>
  </si>
  <si>
    <t>A genome-wide scan of ashkenazi jewish Crohn's disease suggests novel susceptibility Loci.</t>
  </si>
  <si>
    <t>737 Ashkenazi Jewish cases, 2,257 Ashkenazi Jewish controls</t>
  </si>
  <si>
    <t>971 Ashkenazi Jewish cases, 2,124 Ashkenazi Jewish controls</t>
  </si>
  <si>
    <t>Affyemtrix &amp; Illumina [1,060,934] (imputed)</t>
  </si>
  <si>
    <t>A genome-wide association study identifies 2 susceptibility Loci for Crohn's disease in a Japanese population.</t>
  </si>
  <si>
    <t>372 Japanese ancestry cases and 3,389 Japanese ancestry controls</t>
  </si>
  <si>
    <t>Up to 1,151 Japanese ancestry cases and Up to 15,800 Japanese ancestry controls</t>
  </si>
  <si>
    <t>Illumina [4,929,034] (imputed)</t>
  </si>
  <si>
    <t>Dubinsky</t>
  </si>
  <si>
    <t>Crohn's disease (earlier required surgery)</t>
  </si>
  <si>
    <t>Inflammation;Gastrointestinal;Crohn's disease;Surgery</t>
  </si>
  <si>
    <t>Multidimensional prognostic risk assessment identifies association between IL12B variation and surgery in Crohn's disease.</t>
  </si>
  <si>
    <t>239 European ancestry cases that required surgery within 5 year, 375 European ancestry cases that did not require surgery within 5 years</t>
  </si>
  <si>
    <t>Illumina [483,359]</t>
  </si>
  <si>
    <t>Crohn's disease and Psoriasis</t>
  </si>
  <si>
    <t>Inflammation;Gastrointestinal;Crohn's disease;Skin-related</t>
  </si>
  <si>
    <t>Combined analysis of genome-wide association studies for Crohn disease and psoriasis identifies seven shared susceptibility loci.</t>
  </si>
  <si>
    <t>2,529 European ancestry psoriasis cases, 2,142 European ancestry Crohn's disease cases, 10,460 European ancestry controls</t>
  </si>
  <si>
    <t>Up to 3,187 European ancestry psoriasis cases, 4,073 European ancestry Crohn's disease cases, 10,100 European ancestry controls</t>
  </si>
  <si>
    <t>Affymetrix, Illumina &amp; Perlegen [1,116,213] (imputed)</t>
  </si>
  <si>
    <t>Jostins</t>
  </si>
  <si>
    <t>Crohn's disease and ulcerative colitis</t>
  </si>
  <si>
    <t>Host-microbe interactions have shaped the genetic architecture of inflammatory bowel disease.</t>
  </si>
  <si>
    <t xml:space="preserve">Up to 12,924 European ancestry cases, Up to 21,442 European ancestry controls </t>
  </si>
  <si>
    <t xml:space="preserve">Up to 25,683 European ancestry cases, Up to 17,015 European ancestry controls </t>
  </si>
  <si>
    <t>Affyemtrix &amp; Illumina [1.23 million] (imputed)</t>
  </si>
  <si>
    <t>Cystic fibrosis with meconium ileus</t>
  </si>
  <si>
    <t>Pulmonary;Chronic lung disease;Cystic fibrosis;Gastrointestinal</t>
  </si>
  <si>
    <t>Multiple apical plasma membrane constituents are associated with susceptibility to meconium ileus in individuals with cystic fibrosis.</t>
  </si>
  <si>
    <t>3,763 European ancestry cases</t>
  </si>
  <si>
    <t>2,372 European ancestry cases</t>
  </si>
  <si>
    <t>Illumina [7,245,292] (imputed)</t>
  </si>
  <si>
    <t>Gamazon</t>
  </si>
  <si>
    <t>Cytabarine toxicity in blood cell lines</t>
  </si>
  <si>
    <t>Drug response;Cancer-related;Blood-related;Gene expression (RNA);Cell line</t>
  </si>
  <si>
    <t>Comprehensive genetic analysis of cytarabine sensitivity in a cell-based model identifies polymorphisms associated with outcome in AML patients.</t>
  </si>
  <si>
    <t>176 YRI, 83 ASW, 90 ASN, 174 CEU lymphoblastoid cell lines</t>
  </si>
  <si>
    <t>HapMap &amp; imputed [~2 million]</t>
  </si>
  <si>
    <t>Mikacenic</t>
  </si>
  <si>
    <t>Cytokine responses to Pam(3)CSK(4) (N-palmitoyl-S-dipalmitoylglyceryl Cys-Ser-(Lys)(4)) in blood</t>
  </si>
  <si>
    <t>Drug response;Immune-related;Blood-related</t>
  </si>
  <si>
    <t>Variation in the TLR10/TLR1/TLR6 locus is the major genetic determinant of interindividual difference in TLR1/2-mediated responses.</t>
  </si>
  <si>
    <t>360 EA individuals</t>
  </si>
  <si>
    <t>Illumina [493,197]</t>
  </si>
  <si>
    <t>Dabigatran plasma levels</t>
  </si>
  <si>
    <t>Drug response;Cardiovascular disease (CVD);Atrial fibrillation;Heart</t>
  </si>
  <si>
    <t>Genetic determinants of dabigatran plasma levels and their relation to bleeding.</t>
  </si>
  <si>
    <t>1,490 European ancestry atrial fibrillation patients at risk of stroke</t>
  </si>
  <si>
    <t>204 European ancestry atrial fibrillation patients at risk of stroke, 66 Latin American ancestry atrial fibrillation patients at risk of stroke, 1 Arab ancestry atrial fibrillation patient at risk of stroke, 5 Black African atrial fibrillation patients at risk of stroke, 21 Chinese ancestry atrial fibrillation patients at risk of stroke, 1 Colored African atrial fibrillation patient at risk of stroke, 4 Japanese ancestry atrial fibrillation patients at risk of stroke, 9 South Asian ancestry atrial fibrillation patients at risk of stroke, 15 other Asian ancestry atrial fibrillation patients at risk of stroke and 134 atrial fibrillation patients at risk of stroke</t>
  </si>
  <si>
    <t>Illumina [551,203]</t>
  </si>
  <si>
    <t>Dental caries</t>
  </si>
  <si>
    <t>BMC Oral Health</t>
  </si>
  <si>
    <t>Genome-wide association scan of dental caries in the permanent dentition.</t>
  </si>
  <si>
    <t>1,483 comparatively younger European ancestry individuals, 5,960 comparatively older European ancestry individuals</t>
  </si>
  <si>
    <t>Illumina and Affymetrix [~1.4 million] (imputed)</t>
  </si>
  <si>
    <t>Dental caries in permanent dentition</t>
  </si>
  <si>
    <t>GWAS of dental caries patterns in the permanent dentition.</t>
  </si>
  <si>
    <t>920 European ancestry individuals</t>
  </si>
  <si>
    <t>Illumina [518,997]</t>
  </si>
  <si>
    <t>Blackman</t>
  </si>
  <si>
    <t>Diabetes in cystic fibrosis</t>
  </si>
  <si>
    <t>Type 2 diabetes (T2D);CVD risk factor (CVD RF);Pulmonary;Chronic lung disease;Cystic fibrosis</t>
  </si>
  <si>
    <t>Genetic modifiers of cystic fibrosis-related diabetes.</t>
  </si>
  <si>
    <t>644 cystic fibrosis-related diabetes cases, 2,415 cystic fibrosis controls</t>
  </si>
  <si>
    <t>124 cystic fibrosis-related diabetes cases, 570 cystic fibrosis controls</t>
  </si>
  <si>
    <t>Illumina [549,869]</t>
  </si>
  <si>
    <t>Shiffman</t>
  </si>
  <si>
    <t>Differential cardiovascular event reduction by pravastatin therapy</t>
  </si>
  <si>
    <t>Drug response;Quantitative trait(s);CVD risk factor (CVD RF);Lipids;Cardiovascular disease (CVD);Coronary heart disease (CHD)</t>
  </si>
  <si>
    <t>Genome-wide study of gene variants associated with differential cardiovascular event reduction by pravastatin therapy.</t>
  </si>
  <si>
    <t>667 European ancestry event individuals, 2,246 European ancestry non-event individuals, 18 African American event individuals, 60 African American non-event individuals, 20 Hispanic event individuals, 65 Hispanic non-event individuals, 6 Asian, Pacific or other ancestry event individuals, 27 Asian, Pacific or other ancestry non-event individuals</t>
  </si>
  <si>
    <t>590 individuals with an event, 4,654 individuals without an event</t>
  </si>
  <si>
    <t>Illumina [657,366]</t>
  </si>
  <si>
    <t>Disordered eating</t>
  </si>
  <si>
    <t>Int J Eat Disord</t>
  </si>
  <si>
    <t>Genetic variants associated with disordered eating.</t>
  </si>
  <si>
    <t>237 female cases, 2,287 female controls</t>
  </si>
  <si>
    <t>Illumina [6,150,213] (imputed)</t>
  </si>
  <si>
    <t>Disordered gambling</t>
  </si>
  <si>
    <t>Neuro;Addiction;Behavioral</t>
  </si>
  <si>
    <t>Genome-wide association study of a quantitative disordered gambling trait</t>
  </si>
  <si>
    <t>1312 Australian twins</t>
  </si>
  <si>
    <t>Illumina [2,381,914]</t>
  </si>
  <si>
    <t>Renteria</t>
  </si>
  <si>
    <t>DNA methylation in blood</t>
  </si>
  <si>
    <t>Quantitative trait(s);Methylation;Epigenetics</t>
  </si>
  <si>
    <t>GWAS of DNA methylation variation within imprinting control regions suggests parent-of-origin association.</t>
  </si>
  <si>
    <t>1,024 European ancestry individuals</t>
  </si>
  <si>
    <t>Illumina [515,966]</t>
  </si>
  <si>
    <t>Down's Syndrome &amp; Alzheimer's disease</t>
  </si>
  <si>
    <t>Congenital;Neuro;Alzheimer's disease;Muscle-related;Neuro;Cognition</t>
  </si>
  <si>
    <t>Evidence that PICALM affects age at onset of Alzheimer's dementia in Down syndrome.</t>
  </si>
  <si>
    <t>129 individuals with Down syndrome (67 with Alzheimer's Disease, 62 without)</t>
  </si>
  <si>
    <t>Illumina [642,251]</t>
  </si>
  <si>
    <t>Urban</t>
  </si>
  <si>
    <t>Drug-induced liver injury (&gt;200 drugs included)</t>
  </si>
  <si>
    <t>Limited contribution of common genetic variants to risk for liver injury due to a variety of drugs.</t>
  </si>
  <si>
    <t>783 European ancestry cases, 3,001 European ancestry controls</t>
  </si>
  <si>
    <t>307 European ancestry cases, 2,587 European ancestry controls</t>
  </si>
  <si>
    <t>Illumina [800,769]</t>
  </si>
  <si>
    <t>Duodenal ulcer</t>
  </si>
  <si>
    <t>Gastrointestinal;Infection</t>
  </si>
  <si>
    <t>A genome-wide association study identifies two susceptibility loci for duodenal ulcer in the Japanese population.</t>
  </si>
  <si>
    <t>1,043 Japanese ancestry cases, 21,694 Japanese ancestry controls</t>
  </si>
  <si>
    <t>5,992 Japanese ancestry cases, 3,629 Japanese ancestry controls</t>
  </si>
  <si>
    <t>Illumina [480,327]</t>
  </si>
  <si>
    <t>Field</t>
  </si>
  <si>
    <t>Dense-map genome scan for dyslexia supports loci at 4q13, 16p12, 17q22; suggests  novel locus at 7q36.</t>
  </si>
  <si>
    <t>718 individuals in 112 families</t>
  </si>
  <si>
    <t>Affymetrix [125,047]</t>
  </si>
  <si>
    <t>Dyslexia (and mathematical ability)</t>
  </si>
  <si>
    <t>A common variant in myosin-18B contributes to mathematical abilities in children with dyslexia and intraparietal sulcus variability in adults.</t>
  </si>
  <si>
    <t>200 European ancestry cases</t>
  </si>
  <si>
    <t>510 European ancestry cases</t>
  </si>
  <si>
    <t>Eating disorders</t>
  </si>
  <si>
    <t>Neuro;Behavioral;Diet-related</t>
  </si>
  <si>
    <t>Genome-wide association analysis of eating disorder-related symptoms, behaviors, and personality traits.</t>
  </si>
  <si>
    <t>Up to 2,567 European ancestry individuals</t>
  </si>
  <si>
    <t>Up to 767 European ancestry cases, Up to 486  European ancestry controls</t>
  </si>
  <si>
    <t>Illumina [283,744]</t>
  </si>
  <si>
    <t>Sinner</t>
  </si>
  <si>
    <t>ECG (Electrocardiogram measurements), early repolarization pattern</t>
  </si>
  <si>
    <t>A meta-analysis of genome-wide association studies of the electrocardiographic early repolarization pattern.</t>
  </si>
  <si>
    <t>7,482 European ancestry individuals</t>
  </si>
  <si>
    <t>7,151 European ancestry individuals</t>
  </si>
  <si>
    <t>Affymetrix &amp; Illumina [2,523,555] (imputed)</t>
  </si>
  <si>
    <t>Butler</t>
  </si>
  <si>
    <t>Novel loci associated with PR interval in a genome-wide association study of 10 African American cohorts.</t>
  </si>
  <si>
    <t>13,415 African American individuals</t>
  </si>
  <si>
    <t>Affymetrix &amp; Illumina [2,845,108] (imputed)</t>
  </si>
  <si>
    <t>Ritchie</t>
  </si>
  <si>
    <t>ECG (Electrocardiogram measurements), QRS duration</t>
  </si>
  <si>
    <t>Genome- and phenome-wide analyses of cardiac conduction identifies markers of arrhythmia risk.</t>
  </si>
  <si>
    <t>5,272 European ancestry indiviudals</t>
  </si>
  <si>
    <t>40,407 European ancestry individuals</t>
  </si>
  <si>
    <t>Illumina [528,508]</t>
  </si>
  <si>
    <t>A Common Variant in SLC8A1 Is Associated with the Duration of the Electrocardiographic QT Interval</t>
  </si>
  <si>
    <t>6,805 Korean samples</t>
  </si>
  <si>
    <t>7,373 Asian samples</t>
  </si>
  <si>
    <t>Illumina [352,228]</t>
  </si>
  <si>
    <t>Impact of ancestry and common genetic variants on QT interval in African Americans.</t>
  </si>
  <si>
    <t>13,105 African American individuals</t>
  </si>
  <si>
    <t>Affymetrix &amp; Illumina [2.8 million] (imputed)</t>
  </si>
  <si>
    <t>Jeff</t>
  </si>
  <si>
    <t>ECG (Electrocardiogram measurements), QT interval, PR interval, QRS duration, Heart rate variability</t>
  </si>
  <si>
    <t>Generalization of variants identified by genome-wide association studies for electrocardiographic traits in african americans.</t>
  </si>
  <si>
    <t>455 African American individuals</t>
  </si>
  <si>
    <t>Illumina [&gt;930,000]</t>
  </si>
  <si>
    <t>Marjamaa</t>
  </si>
  <si>
    <t>ECG (Electrocardiogram measurements), T-Peak to T-End interval</t>
  </si>
  <si>
    <t>A common variant near the KCNJ2 gene is associated with T-peak to T-end interval.</t>
  </si>
  <si>
    <t>1,870 Finnish ancestry individuals</t>
  </si>
  <si>
    <t>3,745 European ancestry individuals</t>
  </si>
  <si>
    <t>Illumina [541,864]</t>
  </si>
  <si>
    <t>Economic and political preferences</t>
  </si>
  <si>
    <t>Social</t>
  </si>
  <si>
    <t>The genetic architecture of economic and political preferences.</t>
  </si>
  <si>
    <t>9,617 European ancestry individuals</t>
  </si>
  <si>
    <t>Illumina [628,922]</t>
  </si>
  <si>
    <t>Rietvald</t>
  </si>
  <si>
    <t>GWAS of 126,559 individuals identifies genetic variants associated with educational attainment.</t>
  </si>
  <si>
    <t>Up to 101,069 European ancestry individuals</t>
  </si>
  <si>
    <t>25,490 European ancestry individuals</t>
  </si>
  <si>
    <t>Illumina, Affymterix, Perlegen [Up to 2,309,290] (imputed)</t>
  </si>
  <si>
    <t>Lacey</t>
  </si>
  <si>
    <t>Gynecol Oncol</t>
  </si>
  <si>
    <t>Endometrial cancer and genetic variation in PTEN, PIK3CA, AKT1, MLH1, and MSH2 within a population-based case-control study.</t>
  </si>
  <si>
    <t>447 Polish cases and 439 Polish controls</t>
  </si>
  <si>
    <t>Illumina [~29,000]</t>
  </si>
  <si>
    <t>Genome-wide association study identifies a possible susceptibility locus for endometrial cancer.</t>
  </si>
  <si>
    <t>832 Chinese ancestry cases, 2,682 Chinese ancestry controls</t>
  </si>
  <si>
    <t>6,864 European ancestry cases, 12,936 European ancestry controls, 796 Chinese ancestry cases, 978 Chinese ancestry controls</t>
  </si>
  <si>
    <t>Affymetrix [585,963]</t>
  </si>
  <si>
    <t>Nyholt</t>
  </si>
  <si>
    <t>Genome-wide association meta-analysis identifies new endometriosis risk loci.</t>
  </si>
  <si>
    <t>3,181 European ancestry cases, 8,075 European ancestry controls, 1,423 Japanese ancestry cases, 1,318 Japanese ancestry controls</t>
  </si>
  <si>
    <t>1,044 Japanese ancestry, 4,017 Japanese ancestry controls</t>
  </si>
  <si>
    <t>Illumina [407,632]</t>
  </si>
  <si>
    <t>Albertsen</t>
  </si>
  <si>
    <t>Genome-wide association study link novel loci to endometriosis.</t>
  </si>
  <si>
    <t>1,514 European ancestry casses, 12,660 European ancestry controls</t>
  </si>
  <si>
    <t>505 European ancestry cases, 1,811 European ancestry controls</t>
  </si>
  <si>
    <t>Illumina [580,699]</t>
  </si>
  <si>
    <t>Steffens</t>
  </si>
  <si>
    <t>Epilepsy (genetic generalized epilepsies)</t>
  </si>
  <si>
    <t>Genome-wide association analysis of genetic generalized epilepsies implicates susceptibility loci at 1q43, 2p16.1, 2q22.3 and 17q21.32</t>
  </si>
  <si>
    <t>702 European ancestry GAE cases, 586 European ancestry JME cases, 239 European ancestry other GGE cases, 2,461 European ancestry controls</t>
  </si>
  <si>
    <t>347 European ancestry GAE parent-child trios, 166 European ancestry JME parent-child trios, 91 European ancestry other GGE parent-child trios, 385 European ancestry GAE cases, 382 European ancestry JME cases, 122 European ancestry other GGE cases, Up to 889 European ancestry controls</t>
  </si>
  <si>
    <t>Affymetrix [4.56 million] (imputed)</t>
  </si>
  <si>
    <t>Equol producers</t>
  </si>
  <si>
    <t>Genes Nutr</t>
  </si>
  <si>
    <t>Epidemiological profiles between equol producers and nonproducers: a genomewide association study of the equol-producing phenotype.</t>
  </si>
  <si>
    <t>1,391 Korean samples</t>
  </si>
  <si>
    <t>Affymetrix [333,651]</t>
  </si>
  <si>
    <t>Erectile dysfunction (ED) among prostate cancer patients treated with radiation therapy</t>
  </si>
  <si>
    <t>Reproductive;Gender;Male;Prostate cancer;Radiation;Treatment response;Adverse drug reaction (ADR)</t>
  </si>
  <si>
    <t>A 2-stage genome-wide association study to identify single nucleotide polymorphisms associated with development of erectile dysfunction following radiation therapy for prostate cancer.</t>
  </si>
  <si>
    <t>132 cases of African American, European ancestry, Hispanic/Latin American ancestry,  East Asian ancestry, South Asian ancestries, 103 controls of African American, European ancestry, Hispanic/Latin American ancestry,  East Asian ancestry, South Asian ancestries</t>
  </si>
  <si>
    <t>128 cases of African American, European ancestry, Hispanic/Latin American ancestry,  East Asian ancestry, South Asian ancestries, 102 controls of African American, European ancestry, Hispanic/Latin American ancestry,  East Asian ancestry, South Asian ancestries</t>
  </si>
  <si>
    <t>Affymetrix [614,453]</t>
  </si>
  <si>
    <t>Hotaling</t>
  </si>
  <si>
    <t>Erectile dysfunction in Type 1 Diabetes</t>
  </si>
  <si>
    <t>Reproductive;Gender;Male;Type 1 diabetes (T1D)</t>
  </si>
  <si>
    <t>J Urol</t>
  </si>
  <si>
    <t>Pilot genome-wide association search identifies potential loci for risk of erectile dysfunction in type 1 diabetes using the DCCT/EDIC study cohort.</t>
  </si>
  <si>
    <t xml:space="preserve">125 European ancestry Erectile dysfunction cases with Type 1 Diabetes, 403 European ancestry non Erectile dysfunction controls with Type 1 Diabetes </t>
  </si>
  <si>
    <t>Illumina [840,354]</t>
  </si>
  <si>
    <t>Genotypic variants at 2q33 and risk of esophageal squamous cell carcinoma in China: a meta-analysis of genome-wide association studies.</t>
  </si>
  <si>
    <t>2961 ESCC Han Chinese cases and 3400 controls</t>
  </si>
  <si>
    <t>Illumina [~34,275]</t>
  </si>
  <si>
    <t>Genome-wide association analyses of esophageal squamous cell carcinoma in Chinese identify multiple susceptibility loci and gene-environment interactions.</t>
  </si>
  <si>
    <t>2,031 Han Chinese ancestry cases, 2,044 Han Chinese ancestry controls</t>
  </si>
  <si>
    <t>8,092 Chinese ancestry cases, 8,620 Chinese ancestry controls</t>
  </si>
  <si>
    <t>Esophageal cancer (esophageal squamous cell carcinoma) survival</t>
  </si>
  <si>
    <t>Cancer;Skin-related;Esophageal cancer;Mortality</t>
  </si>
  <si>
    <t>Genome-wide association study identifies common variants in SLC39A6 associated with length of survival in esophageal squamous-cell carcinoma.</t>
  </si>
  <si>
    <t>1,331 Chinese ancestry cases</t>
  </si>
  <si>
    <t>1,062 Chinese ancestry individuals</t>
  </si>
  <si>
    <t xml:space="preserve">Affymetrix [665,999] </t>
  </si>
  <si>
    <t>Essential hypersomnia</t>
  </si>
  <si>
    <t>PeerJ</t>
  </si>
  <si>
    <t>Genome-wide association study of HLA-DQB1*06:02 negative essential hypersomnia.</t>
  </si>
  <si>
    <t>125 Japanese ancestry cases, 562 Japanese ancestry controls</t>
  </si>
  <si>
    <t>Affymetrix [508,366] (imputed)</t>
  </si>
  <si>
    <t>Thier</t>
  </si>
  <si>
    <t>Polymorphisms in the glial glutamate transporter SLC1A2 are associated with essential tremor</t>
  </si>
  <si>
    <t>1364 Germany</t>
  </si>
  <si>
    <t>1163 Germany, Denmark, Austria</t>
  </si>
  <si>
    <t>Affymetrix [620,077]</t>
  </si>
  <si>
    <t>Postel-Vinay</t>
  </si>
  <si>
    <t>Ewing sarcoma</t>
  </si>
  <si>
    <t>Cancer;Bone-related;Developmental</t>
  </si>
  <si>
    <t>Common variants near TARDBP and EGR2 are associated with susceptibility to Ewing sarcoma.</t>
  </si>
  <si>
    <t>Up to 427 European ancestry cases, Up to 4,352 European ancestry controls</t>
  </si>
  <si>
    <t>661 European ancestry cases, 1,299 European ancestry controls</t>
  </si>
  <si>
    <t>Ulivi</t>
  </si>
  <si>
    <t>Genetics of eye colours in different rural populations on the Silk Road.</t>
  </si>
  <si>
    <t>710 individuals</t>
  </si>
  <si>
    <t>Illumina &amp; imputed [2,157,485]</t>
  </si>
  <si>
    <t>Facial morphology</t>
  </si>
  <si>
    <t>Anthropometric;Quantitative trait(s);Imaging</t>
  </si>
  <si>
    <t>A genome-wide association study identifies five loci influencing facial morphology in Europeans.</t>
  </si>
  <si>
    <t>5,388 European ancestry individuals</t>
  </si>
  <si>
    <t>4,071 European ancestry individuals</t>
  </si>
  <si>
    <t>Affymetrix &amp; Illumina [2,558,979] (imputed)</t>
  </si>
  <si>
    <t>Facial photoaging</t>
  </si>
  <si>
    <t>Aging;Skin-related;Anthropometric;Quantitative trait(s);Imaging;Gender;Female</t>
  </si>
  <si>
    <t>A genome-wide association study in Caucasian women points out a putative role of the STXBP5L gene in facial photoaging.</t>
  </si>
  <si>
    <t>502 European ancestry women</t>
  </si>
  <si>
    <t>Illumina [795,063]</t>
  </si>
  <si>
    <t>Sabater-Lleal</t>
  </si>
  <si>
    <t>Factor XI Level and activated partial thromboplastin time (aPTT), in plasma</t>
  </si>
  <si>
    <t>Quantitative trait(s);Blood-related;Thrombosis;Plasma</t>
  </si>
  <si>
    <t>A genome-wide association study identifies KNG1 as a genetic determinant of plasma factor XI Level and activated partial thromboplastin time.</t>
  </si>
  <si>
    <t>339 European ancestry individuals from 21 families</t>
  </si>
  <si>
    <t>658 European ancestry individuals</t>
  </si>
  <si>
    <t>Oosterveer</t>
  </si>
  <si>
    <t>Familial hypercholesterolemia</t>
  </si>
  <si>
    <t>Low-density lipoprotein receptor mutations generate synthetic genome-wide associations.</t>
  </si>
  <si>
    <t>464 cases and 5945 controls</t>
  </si>
  <si>
    <t>2189 cases and 2157 controls</t>
  </si>
  <si>
    <t>Illumina [480,254]</t>
  </si>
  <si>
    <t>Shriner</t>
  </si>
  <si>
    <t>PLoS Comput Biol</t>
  </si>
  <si>
    <t>Joint ancestry and association testing in admixed individuals.</t>
  </si>
  <si>
    <t>922 African-Americans</t>
  </si>
  <si>
    <t>Affymetrix [797,831]</t>
  </si>
  <si>
    <t>Suh</t>
  </si>
  <si>
    <t>J Korean Med Sci</t>
  </si>
  <si>
    <t>Combined genome-wide linkage and association analyses of fasting glucose level in healthy twins and families of Korea.</t>
  </si>
  <si>
    <t>1754 Korean individuals (432 families, 219 MZ pairs)</t>
  </si>
  <si>
    <t>Affymetrix [520,484]</t>
  </si>
  <si>
    <t>Rasmussen-Torvik</t>
  </si>
  <si>
    <t>Fasting glucose GWAS candidate region analysis across ethnic groups in the Multiethnic Study of Atherosclerosis (MESA).</t>
  </si>
  <si>
    <t>2,349 European ancestry individuals, 664 Chinese ancestry individuals, 1,366 African American individuals, 1,171 Hispanic individuals</t>
  </si>
  <si>
    <t>Fasting glucose and insulin, and response to glucose in plasma</t>
  </si>
  <si>
    <t>Large-scale association analyses identify new loci influencing glycemic traits and provide insight into the underlying biological pathways.</t>
  </si>
  <si>
    <t>Up to 133,010 individuals</t>
  </si>
  <si>
    <t>Illumina [~66,000]</t>
  </si>
  <si>
    <t>Manning</t>
  </si>
  <si>
    <t>Fasting glycemic traits and insulin resistance</t>
  </si>
  <si>
    <t>A genome-wide approach accounting for body mass index identifies genetic variants influencing fasting glycemic traits and insulin resistance.</t>
  </si>
  <si>
    <t>Up to 58,074 European ancestry individuals</t>
  </si>
  <si>
    <t>Up tp 38,422 European ancestry individuals</t>
  </si>
  <si>
    <t>Huyghe</t>
  </si>
  <si>
    <t>Fasting insulin processing and secretion in non-diabetics</t>
  </si>
  <si>
    <t>Quantitative trait(s);Type 2 diabetes (T2D);Plasma;Blood-related;Gender;Male</t>
  </si>
  <si>
    <t>Exome array analysis identifies new loci and low-frequency variants influencing insulin processing and secretion.</t>
  </si>
  <si>
    <t>8229 Finnish individuals</t>
  </si>
  <si>
    <t>Illumina [59,029]</t>
  </si>
  <si>
    <t>Fasting insulin; insulin resistance</t>
  </si>
  <si>
    <t>Genome-wide association study identifies novel loci association with fasting insulin and insulin resistance in African Americans.</t>
  </si>
  <si>
    <t>927 African American non-diabetic individuals</t>
  </si>
  <si>
    <t>570 West African ancestry non-diabetic individuals</t>
  </si>
  <si>
    <t>Affymetrix [5,396,838] (imputed)</t>
  </si>
  <si>
    <t>Fatty acid levels, in plasma</t>
  </si>
  <si>
    <t>Genome-wide association study identifies novel loci associated with concentrations of four plasma phospholipid fatty acids in the de novo lipogenesis pathway: results from the Cohorts for Heart and Aging Research in Genomic Epidemiology (CHARGE) consortium.</t>
  </si>
  <si>
    <t>8,961 European ancestry individuals</t>
  </si>
  <si>
    <t>Feitosa</t>
  </si>
  <si>
    <t>Fatty liver and alanine aminotransferase levels (ALT)</t>
  </si>
  <si>
    <t>Quantitative trait(s);Hepatic;Inflammation</t>
  </si>
  <si>
    <t>The ERLIN1-CHUK-CWF19L1 gene cluster influences liver fat deposition and hepatic inflammation in the NHLBI Family Heart Study.</t>
  </si>
  <si>
    <t>2597 individuals in extended families</t>
  </si>
  <si>
    <t>Illumina &amp; imputed [~2.5 million]</t>
  </si>
  <si>
    <t>Aslibekyan</t>
  </si>
  <si>
    <t>Fenofibrate effects on circulating adiponectin</t>
  </si>
  <si>
    <t>Drug response;Quantitative trait(s);CVD risk factor (CVD RF);Lipids;Blood-related</t>
  </si>
  <si>
    <t>Nutr Metab Cardiovasc Dis</t>
  </si>
  <si>
    <t>Preliminary evidence of genetic determinants of adiponectin response to fenofibrate in the Genetics of Lipid Lowering Drugs and Diet Network.</t>
  </si>
  <si>
    <t>793 European ancestry individuals</t>
  </si>
  <si>
    <t>Affymterix [2,543,887] (imputed)</t>
  </si>
  <si>
    <t>Bae</t>
  </si>
  <si>
    <t>Quantitative trait(s);Blood-related;Pregnancy-related;Developmental</t>
  </si>
  <si>
    <t>Meta-analysis of 2040 sickle cell anemia patients: BCL11A and HBS1L-MYB are the major modifiers of HbF in African Americans.</t>
  </si>
  <si>
    <t>Frontal cortex theta oscillations in alcoholism</t>
  </si>
  <si>
    <t>Quantitative trait(s);Neuro;Imaging;Addiction;Alcohol</t>
  </si>
  <si>
    <t>Family-based genome-wide association study of frontal &amp;#x003b8; oscillations identifies potassium channel gene KCNJ6.</t>
  </si>
  <si>
    <t>1,560 European ancestry individuals from 117 families</t>
  </si>
  <si>
    <t>Illumina [634,583]</t>
  </si>
  <si>
    <t>Bouchard</t>
  </si>
  <si>
    <t>Gains in maximal O(2) uptake (VO(2max)) after exposure to a standardized 20-wk exercise program</t>
  </si>
  <si>
    <t>Treatment response;Pulmonary;Physical activity</t>
  </si>
  <si>
    <t>J Appl Physiol (1985)</t>
  </si>
  <si>
    <t>Genomic predictors of the maximal O&amp;#x02082; uptake response to standardized exercise training programs.</t>
  </si>
  <si>
    <t>470 European ancestry individuals from 99 families</t>
  </si>
  <si>
    <t xml:space="preserve">295 individuals, 247 Black ancestry individuals from 105 families </t>
  </si>
  <si>
    <t>Illumina [324,611]</t>
  </si>
  <si>
    <t>Gallbladder cancer</t>
  </si>
  <si>
    <t>Gastrointestinal;Cancer;Gallbladder cancer</t>
  </si>
  <si>
    <t>A genome-wide association study identifies SNP in DCC is associated with gallbladder cancer in the Japanese population.</t>
  </si>
  <si>
    <t>41 Japanese ancestry cases, 866 Japanese ancestry controls</t>
  </si>
  <si>
    <t>30 Japanese ancestry cases, 898 Japanese ancestry controls</t>
  </si>
  <si>
    <t>Illumina [425,706] (imputed)</t>
  </si>
  <si>
    <t>Gaucher disease</t>
  </si>
  <si>
    <t>Blood-related;Hepatic;Immune-related</t>
  </si>
  <si>
    <t>Genome-wide association study of N370S homozygous Gaucher disease reveals the candidacy of CLN8 gene as a genetic modifier contributing to extreme phenotypic variation.</t>
  </si>
  <si>
    <t>139 Ashkenazi Jewish cases</t>
  </si>
  <si>
    <t>Illumina [540,902]</t>
  </si>
  <si>
    <t>Gender</t>
  </si>
  <si>
    <t>Gender;Male;Female</t>
  </si>
  <si>
    <t>Genome-wide meta-analysis of common variant differences between men and women.</t>
  </si>
  <si>
    <t>61,094 European ancestry females, 53,769 European ancestry males</t>
  </si>
  <si>
    <t>Affymetrix &amp; Illumina [2,623,828] (imputed)</t>
  </si>
  <si>
    <t>Galichon</t>
  </si>
  <si>
    <t>Nucleic Acids Res</t>
  </si>
  <si>
    <t>Unrecognized sequence homologies may confound genome-wide association studies.</t>
  </si>
  <si>
    <t>642 individuals</t>
  </si>
  <si>
    <t>Gene expression and DNA methylation in brain cerebellum</t>
  </si>
  <si>
    <t>Quantitative trait(s);Gene expression (RNA);Neuro;Methylation;Epigenetics;Behavioral;Bipolar disorder</t>
  </si>
  <si>
    <t>Enrichment of cis-regulatory gene expression SNPs and methylation quantitative trait loci among bipolar disorder susceptibility variants.</t>
  </si>
  <si>
    <t>153 European ancestry cerebellum samples</t>
  </si>
  <si>
    <t>Affymetrix[886338](imputed)</t>
  </si>
  <si>
    <t>Montgomery</t>
  </si>
  <si>
    <t>Gene expression in blood cell lines (indel eQTLs)</t>
  </si>
  <si>
    <t>The origin, evolution, and functional impact of short insertion-deletion variants identified in 179 human genomes.</t>
  </si>
  <si>
    <t>58 European ancestry (HapMap)</t>
  </si>
  <si>
    <t>HapMap [not listed]</t>
  </si>
  <si>
    <t>Garg</t>
  </si>
  <si>
    <t>Gene expression in blood cell lines (parent of origin effects)</t>
  </si>
  <si>
    <t>Quantitative trait(s);Gene expression (RNA);Blood-related;Cell line;Epigenetics</t>
  </si>
  <si>
    <t>Detection of parent-of-origin specific expression quantitative trait loci by cis-association analysis of gene expression in trios.</t>
  </si>
  <si>
    <t>29 CEU, 30 YRI lymphoblastoid cell lines</t>
  </si>
  <si>
    <t>HapMap [680,475]</t>
  </si>
  <si>
    <t>Mehta</t>
  </si>
  <si>
    <t>Impact of common regulatory single-nucleotide variants on gene expression profiles in whole blood.</t>
  </si>
  <si>
    <t>322 German individuals</t>
  </si>
  <si>
    <t>1,393 German individuals</t>
  </si>
  <si>
    <t>Affymetrix [335,152]</t>
  </si>
  <si>
    <t>Flutre</t>
  </si>
  <si>
    <t>Gene expression in blood cells and fibroblasts</t>
  </si>
  <si>
    <t>A statistical framework for joint eQTL analysis in multiple tissues.</t>
  </si>
  <si>
    <t>75 lymphoblastoid cell lines</t>
  </si>
  <si>
    <t>Illumina [394,651]</t>
  </si>
  <si>
    <t>Barreiro</t>
  </si>
  <si>
    <t>Gene expression in blood dendritic cells before and after exposure to Mycobacterium tuberculosis</t>
  </si>
  <si>
    <t>Quantitative trait(s);Gene expression (RNA);Blood-related;Infection;Pulmonary;Tuberculosis</t>
  </si>
  <si>
    <t>Deciphering the genetic architecture of variation in the immune response to Mycobacterium tuberculosis infection.</t>
  </si>
  <si>
    <t>65 European ancestry male blood samples</t>
  </si>
  <si>
    <t>Illumina[873,973]</t>
  </si>
  <si>
    <t>Zou</t>
  </si>
  <si>
    <t>Gene expression in brain (cerebellum and temporal cortex)</t>
  </si>
  <si>
    <t>Brain expression genome-wide association study (eGWAS) identifies human disease-associated variants.</t>
  </si>
  <si>
    <t>200 Alzheimer's Disease cases, 200 controls for eQTL</t>
  </si>
  <si>
    <t>Illumina [313,330]</t>
  </si>
  <si>
    <t>Gene expression in breast tumors</t>
  </si>
  <si>
    <t>Quantitative trait(s);Gene expression (RNA);Cancer-related;Breast cancer;Gender;Female</t>
  </si>
  <si>
    <t>The genomic and transcriptomic architecture of 2,000 breast tumours reveals novel subgroups.</t>
  </si>
  <si>
    <t>Affymetrix [874,649]</t>
  </si>
  <si>
    <t>Kabakchiev</t>
  </si>
  <si>
    <t>Gene expression in intestine</t>
  </si>
  <si>
    <t>Quantitative trait(s);Gene expression (RNA);Gastrointestinal</t>
  </si>
  <si>
    <t>Expression quantitative trait loci analysis identifies associations between genotype and gene expression in human intestine.</t>
  </si>
  <si>
    <t>173 individuals</t>
  </si>
  <si>
    <t>Illumina [581,633]</t>
  </si>
  <si>
    <t>Kreimer</t>
  </si>
  <si>
    <t>Inference of modules associated to eQTLs.</t>
  </si>
  <si>
    <t>371 individuals</t>
  </si>
  <si>
    <t>Gene expression networks in adipose and blood</t>
  </si>
  <si>
    <t>Quantitative trait(s);Gene expression (RNA);Blood-related;Adipose-related</t>
  </si>
  <si>
    <t>Coexpression network analysis in abdominal and gluteal adipose tissue reveals regulatory genetic loci for metabolic syndrome and related phenotypes.</t>
  </si>
  <si>
    <t>69 individuals and 144 twins</t>
  </si>
  <si>
    <t>Illumina [296,017]</t>
  </si>
  <si>
    <t>Parts</t>
  </si>
  <si>
    <t>Gene expression of microRNAs (miRNA) and other small RNAs in adipose tissue</t>
  </si>
  <si>
    <t>Quantitative trait(s);Gene expression (RNA);Weight;Adipose-related;miRNA</t>
  </si>
  <si>
    <t>Extent, causes, and consequences of small RNA expression variation in human adipose tissue.</t>
  </si>
  <si>
    <t>131 British women</t>
  </si>
  <si>
    <t>70 individuals</t>
  </si>
  <si>
    <t>Gene expression of microRNAs (miRNA) in blood cell lines</t>
  </si>
  <si>
    <t>Quantitative trait(s);Gene expression (RNA);Blood-related;Cell line;miRNA</t>
  </si>
  <si>
    <t>Genetic architecture of microRNA expression: implications for the transcriptome and complex traits.</t>
  </si>
  <si>
    <t>60 CEU/CEPH and 60 YRI lymphoblastoid cell lines</t>
  </si>
  <si>
    <t>58 CEU III and 58 YRI III lymphoblastoid cell lines</t>
  </si>
  <si>
    <t>Gene expression splicing and processing in glioblastoma cell lines</t>
  </si>
  <si>
    <t>Quantitative trait(s);Gene expression (RNA);Cancer-related;Cell line;Neuro;Brain cancer</t>
  </si>
  <si>
    <t>Identification of allele-specific alternative mRNA processing via transcriptome sequencing.</t>
  </si>
  <si>
    <t>4 U87MG Replicates</t>
  </si>
  <si>
    <t>Ulmer</t>
  </si>
  <si>
    <t>Glaucoma (central corneal thickness in primary open-angle glaucoma)</t>
  </si>
  <si>
    <t>Genome-wide analysis of central corneal thickness in primary open-angle glaucoma cases in the NEIGHBOR and GLAUGEN consortia.</t>
  </si>
  <si>
    <t>973 European ancestry cases, 144 European ancestry controls</t>
  </si>
  <si>
    <t>Illumina [480,304]</t>
  </si>
  <si>
    <t>van Koolwijk</t>
  </si>
  <si>
    <t>Glaucoma (intraocular pressure and primary open-angle glaucoma)</t>
  </si>
  <si>
    <t>Common genetic determinants of intraocular pressure and primary open-angle glaucoma.</t>
  </si>
  <si>
    <t>11,972 European ancestry individuals</t>
  </si>
  <si>
    <t>Takamoto</t>
  </si>
  <si>
    <t>Glaucoma (normal tension glaucoma)</t>
  </si>
  <si>
    <t>Common variants on chromosome 9p21 are associated with normal tension glaucoma.</t>
  </si>
  <si>
    <t>286 Japanese ancestry cases, 557 Japanese ancestry controls</t>
  </si>
  <si>
    <t>334 Japanese ancestry cases, 701 Japanese ancestry controls</t>
  </si>
  <si>
    <t>Affymetrix [531,009]</t>
  </si>
  <si>
    <t>Nakano</t>
  </si>
  <si>
    <t>Glaucoma (optic nerve degeneration in glaucoma)</t>
  </si>
  <si>
    <t>Common Variants in CDKN2B-AS1 Associated with Optic-Nerve Vulnerability of Glaucoma Identified by Genome-Wide Association Studies in Japanese.</t>
  </si>
  <si>
    <t>833 Japanese ancestry cases, 686 Japanese ancestry controls</t>
  </si>
  <si>
    <t>411 Japanese ancestry cases, 289 Japanese ancestry controls</t>
  </si>
  <si>
    <t>Affymetrix [653,519]</t>
  </si>
  <si>
    <t>Wiggs</t>
  </si>
  <si>
    <t>Common variants at 9p21 and 8q22 are associated with increased susceptibility to optic nerve degeneration in glaucoma.</t>
  </si>
  <si>
    <t>3,146 European ancestry cases, 3,487 European ancestry controls</t>
  </si>
  <si>
    <t>Illumina [495,132] (imputed)</t>
  </si>
  <si>
    <t>Glaucoma, primary angle closure</t>
  </si>
  <si>
    <t>Genome-wide association analyses identify three new susceptibility loci for primary angle closure glaucoma.</t>
  </si>
  <si>
    <t>1,281 East Asian ancestry cases, 1,987 East Asian ancestry controls, 3,065 Singaporean Malay ancestry controls, 573 Singaporean Asian Indian ancestry cases, 2,538 Singaporean Asian Indian ancestry controls, 2,018 Vietnamese ancestry controls</t>
  </si>
  <si>
    <t>1,545 East Asian ancestry cases, 3,756 East Asian ancestry controls, 165 Saudi Arabian ancestry cases, 175 Saudi Arabian ancestry controls, 127 European ancestry cases, 4,703 European ancestry controls, 80 Indian ancestry cases, 309 Indian ancestry controls</t>
  </si>
  <si>
    <t xml:space="preserve">Illumina [493,501] </t>
  </si>
  <si>
    <t>Gibson</t>
  </si>
  <si>
    <t>Genome-wide association study of primary open angle glaucoma risk and quantitative traits.</t>
  </si>
  <si>
    <t>387 European ancestry cases, 5,380 European ancestry controls</t>
  </si>
  <si>
    <t>294 European ancestry cases, 50 European ancestry controls</t>
  </si>
  <si>
    <t>Affymetrix [681,552]</t>
  </si>
  <si>
    <t>Osman</t>
  </si>
  <si>
    <t>A genome-wide association study in the Japanese population confirms 9p21 and 14q23 as susceptibility loci for primary open angle glaucoma.</t>
  </si>
  <si>
    <t>1,394 Japanese ancestry cases, 6,599 Japanese ancestry controls</t>
  </si>
  <si>
    <t>1,802 Japanese ancestry cases, 7,212 Japanese ancestry controls</t>
  </si>
  <si>
    <t>Illumina [602,216]</t>
  </si>
  <si>
    <t>Scheetz</t>
  </si>
  <si>
    <t>Glaucoma, primary open-angle and age-related macular degeneration</t>
  </si>
  <si>
    <t>Eye-related;Glaucoma;Aging;Age-related macular degeneration (ARMD)</t>
  </si>
  <si>
    <t>A genome-wide association study for primary open angle glaucoma and macular degeneration reveals novel Loci.</t>
  </si>
  <si>
    <t>200 unspecified cases, 197 unspecified controls</t>
  </si>
  <si>
    <t>200 unspecified cases, 200 unspecified controls</t>
  </si>
  <si>
    <t>Affymetrix [500,000]</t>
  </si>
  <si>
    <t>Xiao</t>
  </si>
  <si>
    <t>Glioblastoma</t>
  </si>
  <si>
    <t>SSBP2 variants are associated with survival in glioblastoma patients.</t>
  </si>
  <si>
    <t>315 European ancestry cases</t>
  </si>
  <si>
    <t>434 European ancestry cases</t>
  </si>
  <si>
    <t>Illumina [314,635]</t>
  </si>
  <si>
    <t>Rajaraman</t>
  </si>
  <si>
    <t>Genome-wide association study of glioma and meta-analysis.</t>
  </si>
  <si>
    <t>1,856 European ancestry cases, 4,955 European ancestry controls</t>
  </si>
  <si>
    <t>5,015 European ancestry cases, 11,601 European ancestry controls</t>
  </si>
  <si>
    <t>Illumina [559,977]</t>
  </si>
  <si>
    <t>Shin</t>
  </si>
  <si>
    <t>Genetic architecture for susceptibility to gout in the KARE cohort study.</t>
  </si>
  <si>
    <t>520 Korean ancestry cases, 8,314 Korean ancestry controls</t>
  </si>
  <si>
    <t>Robust evidence for five new Graves' disease risk loci from a staged genome-wide association analysis.</t>
  </si>
  <si>
    <t>1,442 Han Chinese ancestry cases, 1,468 Han Chinese ancestry controls</t>
  </si>
  <si>
    <t>7,891 Han Chinese ancestry cases, 8,351 Han Chinese ancestry controls</t>
  </si>
  <si>
    <t>Illumina [8,019,905] (imputed)</t>
  </si>
  <si>
    <t>Hair color</t>
  </si>
  <si>
    <t>Melanesian blond hair is caused by an amino acid change in TYRP1.</t>
  </si>
  <si>
    <t>43 Solomon Islander ancestry blond haired individuals, 42 Solomon Islander ancestry dark haired individuals</t>
  </si>
  <si>
    <t>Illumina [589,241]</t>
  </si>
  <si>
    <t>Candille</t>
  </si>
  <si>
    <t>Genome-wide association studies of quantitatively measured skin, hair, and eye pigmentation in four European populations.</t>
  </si>
  <si>
    <t>175 European ancestry individuals</t>
  </si>
  <si>
    <t>293 European ancestry individuals</t>
  </si>
  <si>
    <t>Illumina [313,763]</t>
  </si>
  <si>
    <t>McManus</t>
  </si>
  <si>
    <t>Multilocus genetic models of handedness closely resemble single-locus models in explaining family data and are compatible with genome-wide association studies.</t>
  </si>
  <si>
    <t>Surakka</t>
  </si>
  <si>
    <t>A genome-wide association study of monozygotic twin-pairs suggests a locus related to variability of serum high-density lipoprotein cholesterol.</t>
  </si>
  <si>
    <t>1,720 European ancestry monozygotic twins</t>
  </si>
  <si>
    <t>den Hoed</t>
  </si>
  <si>
    <t>Heart rate</t>
  </si>
  <si>
    <t>Identification of heart rate-associated loci and their effects on cardiac conduction and rhythm disorders.</t>
  </si>
  <si>
    <t>85,787 European ancestry individuals, 6,568 Indian Asian ancestry indiviudals</t>
  </si>
  <si>
    <t>88,823 European ancestry individuals</t>
  </si>
  <si>
    <t>Illumina and Affymetrix [2,516,789] (imputed)</t>
  </si>
  <si>
    <t>Deo</t>
  </si>
  <si>
    <t>Heart rate, resting</t>
  </si>
  <si>
    <t>Common genetic variation near the connexin-43 gene is associated with resting heart rate in African Americans: a genome-wide association study of 13,372 participants.</t>
  </si>
  <si>
    <t>13,372 African American individuals</t>
  </si>
  <si>
    <t>Illumina &amp; Affymetrix [2,954,965] (imputed)</t>
  </si>
  <si>
    <t>Quantitative trait(s);Height;Anthropometric</t>
  </si>
  <si>
    <t>Genome-wide association study in Han Chinese identifies three novel loci for human height.</t>
  </si>
  <si>
    <t>6,534 Han Chinese ancestry individuals</t>
  </si>
  <si>
    <t>1,881 Han Chinese ancestry individuals from 637 families</t>
  </si>
  <si>
    <t>Affymetrix [1,532,051] (imputed)</t>
  </si>
  <si>
    <t>Jarvis</t>
  </si>
  <si>
    <t>Height (in Pygmies)</t>
  </si>
  <si>
    <t>Patterns of ancestry, signatures of natural selection, and genetic association with stature in Western African pygmies.</t>
  </si>
  <si>
    <t>125 Cameroon individuals</t>
  </si>
  <si>
    <t>Illumina [1,001,446]</t>
  </si>
  <si>
    <t>Cousminer</t>
  </si>
  <si>
    <t>Height (pubertal growth)</t>
  </si>
  <si>
    <t>Quantitative trait(s);Height;Developmental;Anthropometric</t>
  </si>
  <si>
    <t>Genome-wide association and longitudinal analyses reveal genetic loci linking pubertal height growth, pubertal timing and childhood adiposity.</t>
  </si>
  <si>
    <t>7,161 European ancestry males, 6,879 European ancestry females</t>
  </si>
  <si>
    <t>5,133 European ancestry males, 4,577 European ancestry females</t>
  </si>
  <si>
    <t>Illumina &amp; Affymetrix [~2.5 million] (imputed)</t>
  </si>
  <si>
    <t>Height and body mass index (BMI)</t>
  </si>
  <si>
    <t>Quantitative trait(s);Height;Weight;CVD risk factor (CVD RF);Body mass index;Anthropometric</t>
  </si>
  <si>
    <t>FTO genotype is associated with phenotypic variability of body mass index.</t>
  </si>
  <si>
    <t>133,154 European ancestry individuals</t>
  </si>
  <si>
    <t>59,325 European ancestry individuals</t>
  </si>
  <si>
    <t>Affymetrix, Illumina, and Perlegen (~2.44 million) [imputed]</t>
  </si>
  <si>
    <t>Mayerle</t>
  </si>
  <si>
    <t>Helicobacter pylori serologic status</t>
  </si>
  <si>
    <t>Gastrointestinal;Infection;Gene expression (RNA)</t>
  </si>
  <si>
    <t>Identification of genetic loci associated with Helicobacter pylori serologic status.</t>
  </si>
  <si>
    <t>2,623 European ancestry high titer cases, 7,862 European ancestry low or no titer controls</t>
  </si>
  <si>
    <t>Hematological toxicities in cancer patients receiving gemcitabine therapy</t>
  </si>
  <si>
    <t>Drug response;Adverse drug reaction (ADR);Blood-related;Cancer;Pancreatic cancer;Pancreas;Lung cancer;Pulmonary</t>
  </si>
  <si>
    <t>A genome-wide association study identifies four genetic markers for hematological toxicities in cancer patients receiving gemcitabine therapy.</t>
  </si>
  <si>
    <t>21 Japanese ancestry adverse reaction cases, 58 Japanese ancestry non-adverse reaction individuals</t>
  </si>
  <si>
    <t>33 Japanese ancestry adverse reaction cases, 62 Japanese ancestry non-adverse reaction individuals</t>
  </si>
  <si>
    <t>Illumina [470,064]</t>
  </si>
  <si>
    <t>Association of glycosylated hemoglobin with the gene encoding CDKAL1 in the Korean Association Resource (KARE) study.</t>
  </si>
  <si>
    <t>4,275 Korean ancestry individuals</t>
  </si>
  <si>
    <t>3,782 Korean ancestry individuals</t>
  </si>
  <si>
    <t>Affymetrix [1,693,116] (imputed)</t>
  </si>
  <si>
    <t>Hemoglobin A2 (HbA2) levels</t>
  </si>
  <si>
    <t>Br J Haematol</t>
  </si>
  <si>
    <t>HbA2 levels in normal adults are influenced by two distinct genetic mechanisms.</t>
  </si>
  <si>
    <t>2,322 European ancestry individuals</t>
  </si>
  <si>
    <t>1,716 European ancestry individuals</t>
  </si>
  <si>
    <t>Illumina [531,038]</t>
  </si>
  <si>
    <t>Nishida</t>
  </si>
  <si>
    <t>Hepatitis B virus (HBV) clearance</t>
  </si>
  <si>
    <t>Hepatic;Hepatitis;Infection</t>
  </si>
  <si>
    <t>Genome-Wide Association Study Confirming Association of HLA-DP with Protection against Chronic Hepatitis B and Viral Clearance in Japanese and Korean</t>
  </si>
  <si>
    <t>550 Asian individuals</t>
  </si>
  <si>
    <t>1,243 Asian individuals</t>
  </si>
  <si>
    <t>Affymetrix [597,789]</t>
  </si>
  <si>
    <t>Patin</t>
  </si>
  <si>
    <t>Hepatitis C virus-induced liver fibrosis</t>
  </si>
  <si>
    <t>Genome-wide association study identifies variants associated with progression of liver fibrosis from HCV infection.</t>
  </si>
  <si>
    <t>1,161 European ancestry HCV-infected individuals</t>
  </si>
  <si>
    <t>1,181 European ancestry HCV-infected individuals</t>
  </si>
  <si>
    <t>Illumina [780,650] (imputed)</t>
  </si>
  <si>
    <t>Urabe</t>
  </si>
  <si>
    <t>Hepatitis C-induced liver cirrhosis</t>
  </si>
  <si>
    <t>Infection;Hepatic;Hepatitis;Blood-related;Inflammation</t>
  </si>
  <si>
    <t>A genome-wide association study of HCV-induced liver cirrhosis in the Japanese population identifies novel susceptibility loci at the MHC region.</t>
  </si>
  <si>
    <t>682 Japanese ancestry cases, 1,045 Japanese ancestry controls</t>
  </si>
  <si>
    <t>936 Japanese ancestry cases, 3,809 Japanese ancestry controls</t>
  </si>
  <si>
    <t>Illumina [431,618]</t>
  </si>
  <si>
    <t>Hippocampal and intracranial volumes</t>
  </si>
  <si>
    <t>Neuro;Imaging;Quantitative trait(s)</t>
  </si>
  <si>
    <t>Identification of common variants associated with human hippocampal and intracranial volumes.</t>
  </si>
  <si>
    <t>2,020 European ancestry neuropsychiatric disorder cases, 5,775 European ancestry controls</t>
  </si>
  <si>
    <t>599 European ancestry neuropsychiatric disorder cases, 11,915 European ancestry controls, 143 European ancestry and African American neuropsychiatric disorder cases, 94 European ancestry and African American controls, 605 Hispanic controls</t>
  </si>
  <si>
    <t>Hippocampal volume</t>
  </si>
  <si>
    <t>Common variants at 12q14 and 12q24 are associated with hippocampal volume.</t>
  </si>
  <si>
    <t>9,232 European ancestry individuals</t>
  </si>
  <si>
    <t>2,318 European ancestry individuals</t>
  </si>
  <si>
    <t>Melville</t>
  </si>
  <si>
    <t>Hippocampal volume, total cerebral volume, white matter hyperintensities in Alzheimer disease patients</t>
  </si>
  <si>
    <t>Neuro;Imaging;Quantitative trait(s);Alzheimer's disease</t>
  </si>
  <si>
    <t>Multiple loci influencing hippocampal degeneration identified by genome scan</t>
  </si>
  <si>
    <t>991 European ancestry samples, 419 African-American, 692 unspecified/mixed</t>
  </si>
  <si>
    <t>Illumina [2,131,250]</t>
  </si>
  <si>
    <t>Holzinger</t>
  </si>
  <si>
    <t>HIV-1 (efavirenz pharmacokinetics)</t>
  </si>
  <si>
    <t>Genome-wide association study of plasma efavirenz pharmacokinetics in AIDS Clinical Trials Group protocols implicates several CYP2B6 variants.</t>
  </si>
  <si>
    <t>856 individuals</t>
  </si>
  <si>
    <t>240 individuals</t>
  </si>
  <si>
    <t>HIV-1 acquisition</t>
  </si>
  <si>
    <t>Multicohort genomewide association study reveals a new signal of protection against HIV-1 acquisition.</t>
  </si>
  <si>
    <t>764 HIV-1ûseropositive and 1073 HIV-1ûseronegative individuals European descent</t>
  </si>
  <si>
    <t>1,739 HIV-1ûseropositive and 1,397 HIV-1ûseronegative individuals European descent</t>
  </si>
  <si>
    <t>Illumina [269,962]</t>
  </si>
  <si>
    <t>Euler</t>
  </si>
  <si>
    <t>HIV-1 infection (development of cross-reacting neutralizing antibodies)</t>
  </si>
  <si>
    <t>Genome-wide association study on the development of cross-reactive neutralizing antibodies in HIV-1 infected individuals.</t>
  </si>
  <si>
    <t>292 individuals</t>
  </si>
  <si>
    <t>Illumina [296,446]</t>
  </si>
  <si>
    <t>Guergnon</t>
  </si>
  <si>
    <t>HIV-1 non-progression (untreated, long term)</t>
  </si>
  <si>
    <t>Single-nucleotide polymorphism-defined class I and class III major histocompatibility complex genetic subregions contribute to natural long-term nonprogression in HIV infection.</t>
  </si>
  <si>
    <t>144 white HIV-1 infected LTNP, 605 HIV-1ûinfected white seroconverters</t>
  </si>
  <si>
    <t>Lane</t>
  </si>
  <si>
    <t>HIV-1 resistance in highly exposed individuals with hemophilia A</t>
  </si>
  <si>
    <t>Infection;HIV/AIDS;Blood-related;Hemophilia;Bleeding disorder</t>
  </si>
  <si>
    <t>A genome-wide association study of resistance to HIV infection in highly exposed uninfected individuals with hemophilia A.</t>
  </si>
  <si>
    <t>430 exposed uninfected Haemophilia cases, 765 HIV positive controls</t>
  </si>
  <si>
    <t>Illumina [1,081,435] (imputed)</t>
  </si>
  <si>
    <t>Levine</t>
  </si>
  <si>
    <t>HIV-associated neurocognitive disorders</t>
  </si>
  <si>
    <t>Infection;HIV/AIDS;Blood-related;Neuro;Cognition</t>
  </si>
  <si>
    <t>Genome-wide association study of neurocognitive impairment and dementia in HIV-infected adults.</t>
  </si>
  <si>
    <t>1,287 European ancestry HIV-infected males</t>
  </si>
  <si>
    <t>Loo</t>
  </si>
  <si>
    <t>Human intelligence or general cognitive ability in ADHD families</t>
  </si>
  <si>
    <t>Neuro;Cognition;Behavioral;Attention-deficit/hyperactivity disorder (ADHD)</t>
  </si>
  <si>
    <t>Genome-wide association study of intelligence: additive effects of novel brain expressed genes.</t>
  </si>
  <si>
    <t>656 individuals of European ancestry from ADHD families</t>
  </si>
  <si>
    <t>Illumina [795,637]</t>
  </si>
  <si>
    <t>Huntington's disease</t>
  </si>
  <si>
    <t>Neuro;Developmental;Huntington's disease</t>
  </si>
  <si>
    <t>Common SNP-based haplotype analysis of the 4p16.3 Huntington disease gene region.</t>
  </si>
  <si>
    <t>699 cases and 1676 controls</t>
  </si>
  <si>
    <t>Affymetrix [436,185]</t>
  </si>
  <si>
    <t>Neder</t>
  </si>
  <si>
    <t>Adrenergic alpha-1 pathway is associated with hypertension among Nigerians in a pathway-focused analysis.</t>
  </si>
  <si>
    <t>790 Nigerian cases and 824 Nigerian controls</t>
  </si>
  <si>
    <t>Affymetrix [759,215]</t>
  </si>
  <si>
    <t>Identification of IGF1, SLC4A4, WWOX, and SFMBT1 as hypertension susceptibility genes in Han Chinese with a genome-wide gene-based association study.</t>
  </si>
  <si>
    <t>400 Han Chinese ancestry cases, 400 Han Chinese ancestry controls</t>
  </si>
  <si>
    <t>315 Han Chinese ancestry individuals, 1,999 European ancestry cases, 3,004 European ancestry controls</t>
  </si>
  <si>
    <t>Ilumina [475,157]</t>
  </si>
  <si>
    <t>Hypertension and blood pressure traits</t>
  </si>
  <si>
    <t>A genome-wide linkage and association scan reveals novel Loci for hypertension and blood pressure traits.</t>
  </si>
  <si>
    <t>315 Hong Kong Chinese individuals from 111 families</t>
  </si>
  <si>
    <t>Illumina [503,984]</t>
  </si>
  <si>
    <t>Hypertension with short sleep duration</t>
  </si>
  <si>
    <t>Quantitative trait(s);Blood pressure;CVD risk factor (CVD RF);Neuro;Sleep</t>
  </si>
  <si>
    <t>Genetic association of short sleep duration with hypertension incidence.</t>
  </si>
  <si>
    <t>4,965 Korean ancestry individuals</t>
  </si>
  <si>
    <t>Affymetrix [334,750]</t>
  </si>
  <si>
    <t>Hypertropic cardiomyopathy</t>
  </si>
  <si>
    <t>Formin homology 2 domain containing 3 variants associated with hypertrophic cardiomyopathy.</t>
  </si>
  <si>
    <t>174 European ancestry cases, 823 European ancestry controls</t>
  </si>
  <si>
    <t>1,012 European ancestry cases, 1,326 European ancestry controls</t>
  </si>
  <si>
    <t>Illumina [311,399]</t>
  </si>
  <si>
    <t>Hypothyroidism</t>
  </si>
  <si>
    <t>Novel associations for hypothyroidism include known autoimmune risk loci.</t>
  </si>
  <si>
    <t>3,736 European ancestry cases, 35,546 European ancestry controls</t>
  </si>
  <si>
    <t>Illumina [870,065]</t>
  </si>
  <si>
    <t>Kennedy</t>
  </si>
  <si>
    <t>IFNγ response to smallpox vaccine</t>
  </si>
  <si>
    <t>Genome-wide genetic associations with IFNgamma response to smallpox vaccine.</t>
  </si>
  <si>
    <t>537 EA individuals and 207 African-American individuals</t>
  </si>
  <si>
    <t>Illumina [525,972]</t>
  </si>
  <si>
    <t>IgA levels, in serum</t>
  </si>
  <si>
    <t>Genome-wide association study identifies TNFSF13 as a susceptibility gene for IgA in a South Chinese population in smokers</t>
  </si>
  <si>
    <t>1,999 Chinese ancestry males</t>
  </si>
  <si>
    <t>1,496 Chinese men</t>
  </si>
  <si>
    <t>Illumina [1,940,243] (imputed)</t>
  </si>
  <si>
    <t>Liao</t>
  </si>
  <si>
    <t>Genome-wide scan on total serum IgE levels identifies no common variants in a healthy Chinese male population.</t>
  </si>
  <si>
    <t xml:space="preserve">1,999 Han Chinese ancestry men </t>
  </si>
  <si>
    <t>996 Han Chinese ancestry men, 500 Zhuang Chinese ancestry men</t>
  </si>
  <si>
    <t>Levin</t>
  </si>
  <si>
    <t>A meta-analysis of genome-wide association studies for serum total IgE in diverse study populations.</t>
  </si>
  <si>
    <t>2,469 African American individuals, 259 Latino individuals, 1,564 European ancestry individuals</t>
  </si>
  <si>
    <t>2,961 African American individuals, 1,477 Latino individuals, 649 European ancestry individuals, 680 Hutterites</t>
  </si>
  <si>
    <t>Buck</t>
  </si>
  <si>
    <t>IgG index in multiple sclerosis</t>
  </si>
  <si>
    <t>Quantitative trait(s);Blood-related;Immune-related;Serum;Neuro;Inflammation;Multiple sclerosis (MS)</t>
  </si>
  <si>
    <t>Genetic variants in the immunoglobulin heavy chain locus are associated with the IgG index in multiple sclerosis.</t>
  </si>
  <si>
    <t>229 European ancestry multiple sclerosis cases</t>
  </si>
  <si>
    <t>409 European ancestry multiple sclerosis cases</t>
  </si>
  <si>
    <t>Illumina [526,014]</t>
  </si>
  <si>
    <t>Ming</t>
  </si>
  <si>
    <t>IgG level, in serum</t>
  </si>
  <si>
    <t>Genome-wide association study identifies common variants at TNFRSF13B associated with IgG level in a healthy Chinese male population.</t>
  </si>
  <si>
    <t>1,496 Chinese ancestry males</t>
  </si>
  <si>
    <t>IgM, in serum</t>
  </si>
  <si>
    <t>Genome-wide scan identifies variant in TNFSF13 associated with serum IgM in a healthy Chinese male population.</t>
  </si>
  <si>
    <t>1,999 Han Chinese ancestry individuals</t>
  </si>
  <si>
    <t>1,496 East Asian ancestry individuals</t>
  </si>
  <si>
    <t>Shah</t>
  </si>
  <si>
    <t>IL-6 levels</t>
  </si>
  <si>
    <t>Inflammation;Quantitative trait(s);C-reactive protein (CRP);Blood-related</t>
  </si>
  <si>
    <t>Gene-centric analysis identifies variants associated with interleukin-6 levels and shared pathways with other inflammation markers.</t>
  </si>
  <si>
    <t>8356 British individuals</t>
  </si>
  <si>
    <t>Illumina [36,087]</t>
  </si>
  <si>
    <t>Naitza</t>
  </si>
  <si>
    <t xml:space="preserve">IL-6, erythrocyte sedimentation rate, MCP-1, C-reactive protein (CRP) </t>
  </si>
  <si>
    <t>Inflammation;Quantitative trait(s);Cardiovascular disease (CVD);C-reactive protein (CRP);Blood-related</t>
  </si>
  <si>
    <t>A genome-wide association scan on the levels of markers of inflammation in Sardinians reveals associations that underpin its complex regulation.</t>
  </si>
  <si>
    <t>4,694 European ancestry individuals</t>
  </si>
  <si>
    <t>1,392 European ancestry individuals</t>
  </si>
  <si>
    <t>Affymetrix [~1.9 million] (imputed)</t>
  </si>
  <si>
    <t>Murray</t>
  </si>
  <si>
    <t>Implantable cardioverter-defibrillator activation with life-threatening arrhythmias</t>
  </si>
  <si>
    <t>Treatment response;Surgery;Heart;Cardiovascular disease (CVD);Myocardial infarction (MI)</t>
  </si>
  <si>
    <t>Genome-wide association of implantable cardioverter-defibrillator activation with life-threatening arrhythmias.</t>
  </si>
  <si>
    <t>607 European ancestry cases, 297 European ancestry controls</t>
  </si>
  <si>
    <t>Taal</t>
  </si>
  <si>
    <t>Infant head circumference</t>
  </si>
  <si>
    <t>Anthropometric;Developmental;Pregnancy-related</t>
  </si>
  <si>
    <t>Common variants at 12q15 and 12q24 are associated with infant head circumference.</t>
  </si>
  <si>
    <t>10,768 European ancestry infants</t>
  </si>
  <si>
    <t>8,321 European ancestry infants</t>
  </si>
  <si>
    <t>Feenstra</t>
  </si>
  <si>
    <t>Infantile hypertrophic pyloric stenosis</t>
  </si>
  <si>
    <t>Gastrointestinal;Developmental</t>
  </si>
  <si>
    <t>Common variants near MBNL1 and NKX2-5 are associated with infantile hypertrophic pyloric stenosis.</t>
  </si>
  <si>
    <t>1,001 European ancestry cases, 2,401 European ancestry controls</t>
  </si>
  <si>
    <t>796 European ancestry cases, 876 European ancestry controls</t>
  </si>
  <si>
    <t>Illumina [523,420]</t>
  </si>
  <si>
    <t>Harrison</t>
  </si>
  <si>
    <t>Inter-adventitial common carotid artery diameter</t>
  </si>
  <si>
    <t>A gene-centric study of common carotid artery remodelling.</t>
  </si>
  <si>
    <t>3612 individuals</t>
  </si>
  <si>
    <t>5755 individuals</t>
  </si>
  <si>
    <t>Illumina [127,730]</t>
  </si>
  <si>
    <t>Genome-wide association study for intracranial aneurysm in the Japanese population identifies three candidate susceptible loci and a functional genetic variant at EDNRA.</t>
  </si>
  <si>
    <t>1,383 Japanese ancestry cases, 5,484 Japanese ancestry controls</t>
  </si>
  <si>
    <t>1,048 Japanese ancestry cases, 7,212 Japanese ancestry controls</t>
  </si>
  <si>
    <t>Illumina [565,149]</t>
  </si>
  <si>
    <t>Foroud</t>
  </si>
  <si>
    <t>Intracranial aneurysm, sporadic</t>
  </si>
  <si>
    <t>Genome-wide association study of intracranial aneurysms confirms role of Anril and SOX17 in disease risk.</t>
  </si>
  <si>
    <t>1,483 European ancestry cases, 1,683 European ancestry controls</t>
  </si>
  <si>
    <t>Axiom &amp; Affymetrix [451,088]</t>
  </si>
  <si>
    <t>Intracranial volume</t>
  </si>
  <si>
    <t>Common variants at 6q22 and 17q21 are associated with intracranial volume.</t>
  </si>
  <si>
    <t>8,175 European ancestry individuals</t>
  </si>
  <si>
    <t>1,752 European ancestry individuals</t>
  </si>
  <si>
    <t>Affymetrix &amp; Illumina [2,229,753](imputed)</t>
  </si>
  <si>
    <t>Irinotecan-related severe toxicities in patients with advanced non-small-cell lung cancer</t>
  </si>
  <si>
    <t>Drug response;Adverse drug reaction (ADR);Cancer;Lung cancer;Pulmonary</t>
  </si>
  <si>
    <t>A genome-wide association study for irinotecan-related severe toxicities in patients with advanced non-small-cell lung cancer.</t>
  </si>
  <si>
    <t>101 non-small-cell lung cancer cases</t>
  </si>
  <si>
    <t>146 non-small-cell lung cancer cases</t>
  </si>
  <si>
    <t>Affyemtrix [312,230]</t>
  </si>
  <si>
    <t>Sulkava</t>
  </si>
  <si>
    <t>Job-related exhaustion</t>
  </si>
  <si>
    <t>Genome-wide scan of job-related exhaustion with three replication studies implicate a susceptibility variant at the UST gene locus.</t>
  </si>
  <si>
    <t>1,256 European ancestry individuals</t>
  </si>
  <si>
    <t>13,864 European ancestry individuals</t>
  </si>
  <si>
    <t>Illumina [555,388]</t>
  </si>
  <si>
    <t>de Rooy</t>
  </si>
  <si>
    <t>Joint damage in rheumatoid arthritis</t>
  </si>
  <si>
    <t>A genetic variant in the region of MMP-9 is associated with serum levels and progression of joint damage in rheumatoid arthritis.</t>
  </si>
  <si>
    <t>600 Dutch Individuals with RA</t>
  </si>
  <si>
    <t>926 Individuals with RA</t>
  </si>
  <si>
    <t>Illumina [130,841]</t>
  </si>
  <si>
    <t>Transl Res</t>
  </si>
  <si>
    <t>A genome-wide association analysis identifies novel susceptibility loci for coronary arterial lesions in patients with Kawasaki disease.</t>
  </si>
  <si>
    <t>64 East Asian ancestry serious cases, 70 East Asian ancestry minor cases</t>
  </si>
  <si>
    <t>117 East Asian ancestry serious cases, 128 East Asian ancestry minor cases</t>
  </si>
  <si>
    <t>Affymetrix [470,949]</t>
  </si>
  <si>
    <t>Two new susceptibility loci for Kawasaki disease identified through genome-wide association analysis.</t>
  </si>
  <si>
    <t>622 Taiwanese Han Chinese ancestry cases, 1,107 Taiwanese Han Chinese ancestry controls</t>
  </si>
  <si>
    <t>261 Taiwanese Han Chinese ancestry cases, 550 Taiwanese Han Chinese ancestry controls</t>
  </si>
  <si>
    <t>Affymetrix [716,935]</t>
  </si>
  <si>
    <t>Onouchi</t>
  </si>
  <si>
    <t>A genome-wide association study identifies three new risk loci for Kawasaki disease.</t>
  </si>
  <si>
    <t>428 Japanese ancestry cases, 3,379 Japanese ancestry controls</t>
  </si>
  <si>
    <t>754 Japanese ancestry cases, 947 Japanese ancestry controls</t>
  </si>
  <si>
    <t>Illumina [463,793]</t>
  </si>
  <si>
    <t>Lamotrigine- and phenytoin-induced hypersensitivity reactions</t>
  </si>
  <si>
    <t>Drug response;Epilepsy;Adverse drug reaction (ADR)</t>
  </si>
  <si>
    <t>Genome-wide mapping for clinically relevant predictors of lamotrigine- and phenytoin-induced hypersensitivity reactions.</t>
  </si>
  <si>
    <t>34 European ancestry lamotrigine-induced hypersensitivity cases, 42 European ancestry phenytoin-induced hypersensitivity cases, 1,296 European ancestry controls</t>
  </si>
  <si>
    <t>Late rectal bleeding following chemotherapy for prostate cancer</t>
  </si>
  <si>
    <t>Reproductive;Gender;Male;Prostate cancer;Radiation;Treatment response;Adverse drug reaction (ADR);Gastrointestinal</t>
  </si>
  <si>
    <t>Radiother Oncol</t>
  </si>
  <si>
    <t>Genome-wide association study identifies a region on chromosome 11q14.3 associated with late rectal bleeding following radiation therapy for prostate cancer.</t>
  </si>
  <si>
    <t>79 European, African, Asian, and Hispanic ancestry cases, 241 European, African, Asian, and Hispanic ancestry controls</t>
  </si>
  <si>
    <t>107 European, African, Asian, and Hispanic ancestry cases, 671 European, African, Asian, and Hispanic ancestry controls</t>
  </si>
  <si>
    <t>High density GWAS for LDL cholesterol in African Americans using electronic medical records reveals a strong protective variant in APOE.</t>
  </si>
  <si>
    <t>1,249 African American individuals</t>
  </si>
  <si>
    <t>Illumina [910,341]</t>
  </si>
  <si>
    <t>LDL cholesterol in genotype-1 chronic hepatitis C</t>
  </si>
  <si>
    <t>CVD risk factor (CVD RF);Lipids;Infection;Hepatitis;Hepatic</t>
  </si>
  <si>
    <t>J Viral Hepat</t>
  </si>
  <si>
    <t>Interleukin 28B polymorphisms are the only common genetic variants associated with low-density lipoprotein cholesterol (LDL-C) in genotype-1 chronic hepatitis C and determine the association between LDL-C and treatment response.</t>
  </si>
  <si>
    <t>1,017 European ancestry cases, 207 African American cases, 95 Hispanic cases</t>
  </si>
  <si>
    <t>Illumina [565,759]</t>
  </si>
  <si>
    <t>Hai</t>
  </si>
  <si>
    <t>Lean body mass; age at menarche</t>
  </si>
  <si>
    <t>Quantitative trait(s);Weight;CVD risk factor (CVD RF);Developmental;Aging;Reproductive;Gender;Female;Menarche</t>
  </si>
  <si>
    <t>Bivariate genome-wide association study suggests that the DARC gene influences lean body mass and age at menarche</t>
  </si>
  <si>
    <t>801 Chinese females</t>
  </si>
  <si>
    <t>1,692 Caucasian females</t>
  </si>
  <si>
    <t>Affymetrix [909,622]</t>
  </si>
  <si>
    <t>Hibar</t>
  </si>
  <si>
    <t>Lentiform nucleus volume</t>
  </si>
  <si>
    <t>Genome-wide association identifies genetic variants associated with lentiform nucleus volume in N&amp;#x02009;=&amp;#x02009;1345 young and elderly subjects.</t>
  </si>
  <si>
    <t>162 European ancestry Alzheimer's disease cases, 346 European ancestry mild cognitive impairment cases, 198 European ancestry controls, 639 European ancestry individuals from 364 families</t>
  </si>
  <si>
    <t>Illumina [2,380,200] (imputed)</t>
  </si>
  <si>
    <t>Leukemia (childhood acute lymphoblastic leukemia relapse)</t>
  </si>
  <si>
    <t>Genome-wide association study identifies germline polymorphisms associated with relapse of childhood acute lymphoblastic leukemia.</t>
  </si>
  <si>
    <t>1,268 cases of European, South Asian, East Asian, African American/Afro-Caribbean, Hispanic and other ancestries</t>
  </si>
  <si>
    <t>1,267 cases of European, South Asian, East Asian, African American/Afro-Caribbean, Hispanic and other ancestries</t>
  </si>
  <si>
    <t>Affymetrix [444,044]</t>
  </si>
  <si>
    <t>Novel susceptibility variants at 10p12.31-12.2 for childhood acute lymphoblastic leukemia in ethnically diverse populations.</t>
  </si>
  <si>
    <t>972 European ancestry cases, 1,386 European ancestry controls, 89 African American cases, 1,363 African American controls, 305 Hispanic cases, 1,008 Hispanic controls</t>
  </si>
  <si>
    <t>574 European ancestry cases, 2,601 European ancestry controls, 128 African American cases, 1,075 African American controls, 143 Hispanic cases, 640 Hispanic controls</t>
  </si>
  <si>
    <t>Affymetrix [709,059]</t>
  </si>
  <si>
    <t>Common variation at 6p21.31 (BAK1) influences the risk of chronic lymphocytic leukemia.</t>
  </si>
  <si>
    <t>1,121 European ancestry cases, 3,745 European ancestry controls</t>
  </si>
  <si>
    <t>861 European ancestry cases, 2,033 European ancestry controls</t>
  </si>
  <si>
    <t>Affymetrix &amp; Illumina [~1,500,000] (imputed)</t>
  </si>
  <si>
    <t>Coram</t>
  </si>
  <si>
    <t>Genome-wide characterization of shared and distinct genetic components that influence blood lipid levels in ethnically diverse human populations.</t>
  </si>
  <si>
    <t>7,917 African American individuals, 3,506 Hispanic individuals</t>
  </si>
  <si>
    <t>7,138 African American individuals</t>
  </si>
  <si>
    <t>Elbers</t>
  </si>
  <si>
    <t>Gene-centric meta-analysis of lipid traits in African, East Asian and Hispanic populations.</t>
  </si>
  <si>
    <t>7657 African-American, 1315 Hispanic, 841 East Asian</t>
  </si>
  <si>
    <t>7000 African-American</t>
  </si>
  <si>
    <t>Musunuru</t>
  </si>
  <si>
    <t>Multi-ethnic analysis of lipid-associated loci: the NHLBI CARe project.</t>
  </si>
  <si>
    <t>32160 EA individuals and 12797 African-American individuals</t>
  </si>
  <si>
    <t>Weissglas-Volkov</t>
  </si>
  <si>
    <t>Genomic study in Mexicans identifies a new locus for triglycerides and refines European lipid loci.</t>
  </si>
  <si>
    <t>1,122 Mexican ancestry hypertriglyceridemia cases, 1,118 Mexican ancestry controls</t>
  </si>
  <si>
    <t>1,067 Mexican ancestry hypertriglyceridemia cases, 1,054 Mexican ancestry controls</t>
  </si>
  <si>
    <t>Illumina [1,361,436] (imputed)</t>
  </si>
  <si>
    <t>Asselbergs</t>
  </si>
  <si>
    <t>Large-scale gene-centric meta-analysis across 32 studies identifies multiple lipid loci.</t>
  </si>
  <si>
    <t>66,240 individuals</t>
  </si>
  <si>
    <t>25,282 individuals</t>
  </si>
  <si>
    <t>Illumina [49,227]</t>
  </si>
  <si>
    <t>Jiang</t>
  </si>
  <si>
    <t>Genetic variants in STAT4 and HLA-DQ genes confer risk of hepatitis B virus-related hepatocellular carcinoma.</t>
  </si>
  <si>
    <t>1,161 Chinese ancestry cases, 1,353 Chinese ancestry controls</t>
  </si>
  <si>
    <t>4,319 Chinese ancestry cases, 4,966 Chinese ancestry controls</t>
  </si>
  <si>
    <t>Illumina [1,672,517] (imputed)</t>
  </si>
  <si>
    <t>GWAS identifies novel susceptibility loci on 6p21.32 and 21q21.3 for hepatocellular carcinoma in chronic hepatitis B virus carriers.</t>
  </si>
  <si>
    <t xml:space="preserve">1,538 Han Chinese ancestry HBV-positive HCC cases, 1,465 Han Chinese ancestry chronic HBV carriers  </t>
  </si>
  <si>
    <t xml:space="preserve">4,431 Han Chinese ancestry HBV-positive HCC cases, 4,725 Han Chinese ancestry chronic HBV carriers  </t>
  </si>
  <si>
    <t>Genetic variants influencing human aging from late-onset Alzheimer's disease (LOAD) genome-wide association studies (GWAS).</t>
  </si>
  <si>
    <t>1031 cases and 333 controls</t>
  </si>
  <si>
    <t>Illumina [528,430]</t>
  </si>
  <si>
    <t>Genetic signatures of exceptional longevity in humans.</t>
  </si>
  <si>
    <t>801 European ancestry long-living individuals, 914 European ancestry controls</t>
  </si>
  <si>
    <t>292 European ancestry long-living individuals, 21 long-living individuals, 867 controls</t>
  </si>
  <si>
    <t>Illumina [243,980]</t>
  </si>
  <si>
    <t>Low thyroid-stimulation hormone (TSH) levels and thyroid cancer</t>
  </si>
  <si>
    <t>Cancer;Thyroid cancer;Thyroid;Hormonal;Quantitative trait(s)</t>
  </si>
  <si>
    <t>Discovery of common variants associated with low TSH levels and thyroid cancer risk.</t>
  </si>
  <si>
    <t>27,758 European ancestry individuals</t>
  </si>
  <si>
    <t>1,156 European ancestry cases, Up to 42,617 European ancestry controls</t>
  </si>
  <si>
    <t>Illumina [~16 million] (imputed)</t>
  </si>
  <si>
    <t>Lp-PLA(2) mass and activity at baseline and after 12 months of rosuvastatin therapy</t>
  </si>
  <si>
    <t>Drug response;Quantitative trait(s);Blood-related;CVD risk factor (CVD RF);Lipids</t>
  </si>
  <si>
    <t>Genome-wide association study evaluating lipoprotein-associated phospholipase A2 mass and activity at baseline and after rosuvastatin therapy.</t>
  </si>
  <si>
    <t>6,851 European ancestry individuals</t>
  </si>
  <si>
    <t>13,664 European ancestry individuals</t>
  </si>
  <si>
    <t>Illumina [796,174]</t>
  </si>
  <si>
    <t>Lumbar disc degeneration</t>
  </si>
  <si>
    <t>Bone-related;Imaging;Aging</t>
  </si>
  <si>
    <t>Novel genetic variants associated with lumbar disc degeneration in northern Europeans: a meta-analysis of 4600 subjects.</t>
  </si>
  <si>
    <t>4,683 European ancestry individuals</t>
  </si>
  <si>
    <t>Affymetrix &amp; Illumina [2,552,511] (imputed)</t>
  </si>
  <si>
    <t>Shiraishi</t>
  </si>
  <si>
    <t>Lung adenocarcinoma</t>
  </si>
  <si>
    <t>A genome-wide association study identifies two new susceptibility loci for lung adenocarcinoma in the Japanese population.</t>
  </si>
  <si>
    <t>1,695 Japanese ancestry cases, 5,333 Japanese ancestry controls</t>
  </si>
  <si>
    <t>4,334 Japanese ancestry cases, 8,202 Japanese ancestry controls</t>
  </si>
  <si>
    <t>Illumina [538,166]</t>
  </si>
  <si>
    <t>Timofeeva</t>
  </si>
  <si>
    <t>Influence of common genetic variation on lung cancer risk: meta-analysis of 14 900 cases and 29 485 controls.</t>
  </si>
  <si>
    <t>Up to 14,900 European ancestry cases, Up to 29,485 European ancestry controls</t>
  </si>
  <si>
    <t>2,338 Han Chinese ancestry cases, 3,077 Han Chinese ancestry controls</t>
  </si>
  <si>
    <t xml:space="preserve">Illumina [Up to 536,008] </t>
  </si>
  <si>
    <t>Lung cancer (DNA-repair capacity in lung cancer)</t>
  </si>
  <si>
    <t>Cancer;Lung cancer;Pulmonary;Radiation</t>
  </si>
  <si>
    <t>Genome-wide association study reveals novel genetic determinants of DNA repair capacity in lung cancer.</t>
  </si>
  <si>
    <t>914 European ancestry non-small cell lung cancer cases, 860 European ancestry controls</t>
  </si>
  <si>
    <t>679 European ancestry ancestry non-small cell lung cancer cases, 695 European ancestry controls</t>
  </si>
  <si>
    <t>Illumina [303,669]</t>
  </si>
  <si>
    <t>Dong</t>
  </si>
  <si>
    <t>Lung cancer (squamous cell carcinoma)</t>
  </si>
  <si>
    <t>Genome-wide association study identifies a novel susceptibility locus at 12q23.1 for lung squamous cell carcinoma in han chinese.</t>
  </si>
  <si>
    <t>833 Han Chinese ancestry cases, 3,094 Han Chinese ancestry controls</t>
  </si>
  <si>
    <t>2,223 Han Chinese ancestry cases, 6,409 Han Chinese ancestry controls</t>
  </si>
  <si>
    <t xml:space="preserve">Affymetrix [570,009] </t>
  </si>
  <si>
    <t>Lan</t>
  </si>
  <si>
    <t>Lung cancer in never-smoking women</t>
  </si>
  <si>
    <t>Genome-wide association analysis identifies new lung cancer susceptibility loci in never-smoking women in Asia.</t>
  </si>
  <si>
    <t>5,510 East Asian ancestry cases, 4,544 East Asian ancestry controls</t>
  </si>
  <si>
    <t>1,099 East Asian ancestry cases, 2,913 East Asian ancestry controls</t>
  </si>
  <si>
    <t>Illumina [596,032]</t>
  </si>
  <si>
    <t>Lung cancer, non-small cell lung cancer prognosis</t>
  </si>
  <si>
    <t>Prognostic implications of genetic variants in advanced non-small cell lung cancer: a genome-wide association study.</t>
  </si>
  <si>
    <t>348 Korean ancestry cases</t>
  </si>
  <si>
    <t>Affymetrix [271,817]</t>
  </si>
  <si>
    <t>Lung cancer, prognosis in advanced non-small cell lung carcinoma with platinum-based chemotherapy</t>
  </si>
  <si>
    <t>Genome-wide association study of prognosis in advanced non-small cell lung cancer patients receiving platinum-based chemotherapy.</t>
  </si>
  <si>
    <t>528 Han Chinese ancestry cases</t>
  </si>
  <si>
    <t>340 Han Chinese ancestry cases, 409 European ancestry cases</t>
  </si>
  <si>
    <t>NR [576,351]</t>
  </si>
  <si>
    <t>Lung cancer, survival in non-small cell lung carcinoma in never smokers</t>
  </si>
  <si>
    <t>Genome-wide association study of genetic predictors of overall survival for non-small cell lung cancer in never smokers.</t>
  </si>
  <si>
    <t>620 European ancestry never smoker cases</t>
  </si>
  <si>
    <t>1,256 Chinese ancestry never smoker cases</t>
  </si>
  <si>
    <t>Lung cancer, survival in small cell lung cancer treated with irinitecan and cisplatin</t>
  </si>
  <si>
    <t>A genome-wide association study of survival in small-cell lung cancer patients treated with irinotecan plus cisplatin chemotherapy.</t>
  </si>
  <si>
    <t>139 individuals</t>
  </si>
  <si>
    <t>Affymetrix [334,127]</t>
  </si>
  <si>
    <t>Genome-wide joint meta-analysis of SNP and SNP-by-smoking interaction identifies novel loci for pulmonary function.</t>
  </si>
  <si>
    <t>50,047 European ancestry individuals</t>
  </si>
  <si>
    <t>NR [~2.5 million] (imputed)</t>
  </si>
  <si>
    <t>Imboden</t>
  </si>
  <si>
    <t>Lung function decline in adults with and without asthma</t>
  </si>
  <si>
    <t>Quantitative trait(s);Asthma;Pulmonary;Chronic lung disease;Inflammation</t>
  </si>
  <si>
    <t>Genome-wide association study of lung function decline in adults with and without asthma.</t>
  </si>
  <si>
    <t>1,441 European ancestry asthma cases, 2,677 European ancestry controls</t>
  </si>
  <si>
    <t>1,160 European ancestry asthma cases, 10,858 European ancestry controls</t>
  </si>
  <si>
    <t>Hansel</t>
  </si>
  <si>
    <t>Lung function decline in mild to moderate chronic obstructive pulmonary disease</t>
  </si>
  <si>
    <t>Quantitative trait(s);Pulmonary;Chronic lung disease;Chronic obstructive pulmonary disease (COPD)</t>
  </si>
  <si>
    <t>Genome-wide study identifies two loci associated with lung function decline in mild to moderate COPD.</t>
  </si>
  <si>
    <t>4,048 European ancestry cases</t>
  </si>
  <si>
    <t>1,772 European ancestry cases, 4,733 cases</t>
  </si>
  <si>
    <t>Illumina [528,817]</t>
  </si>
  <si>
    <t>Lung function in textile workers with endotoxin exposure</t>
  </si>
  <si>
    <t>Quantitative trait(s);Pulmonary;Environment</t>
  </si>
  <si>
    <t>A large scale gene-centric association study of lung function in newly-hired female cotton textile workers with endotoxin exposure.</t>
  </si>
  <si>
    <t>Illumina [27,611]</t>
  </si>
  <si>
    <t>Lung function with asthma</t>
  </si>
  <si>
    <t>Genome-wide association study identifies TH1 pathway genes associated with lung function in asthmatic patients.</t>
  </si>
  <si>
    <t>1,544 European ancestry individuals</t>
  </si>
  <si>
    <t>Illumina [369,771]</t>
  </si>
  <si>
    <t>Skibola</t>
  </si>
  <si>
    <t>A meta-analysis of genome-wide association studies of follicular lymphoma.</t>
  </si>
  <si>
    <t>Up to 592 cases and 1541 controls</t>
  </si>
  <si>
    <t>107 cases; 681 controls</t>
  </si>
  <si>
    <t>Illumina [312,768]</t>
  </si>
  <si>
    <t>Urayama</t>
  </si>
  <si>
    <t>Lymphoma (Hodgkin's lymphoma and Epstein-Barr virus status-defined subgroups)</t>
  </si>
  <si>
    <t>Genome-wide association study of classical Hodgkin lymphoma and Epstein-Barr virus status-defined subgroups.</t>
  </si>
  <si>
    <t>1,200 European ancestry cases, 6,417 European ancestry controls</t>
  </si>
  <si>
    <t>563 European ancestry cases, 613 European ancestry controls</t>
  </si>
  <si>
    <t>Illumina [502,514]</t>
  </si>
  <si>
    <t>Vijai</t>
  </si>
  <si>
    <t>Lymphoma subtypes</t>
  </si>
  <si>
    <t>Susceptibility loci associated with specific and shared subtypes of lymphoid malignancies.</t>
  </si>
  <si>
    <t>275 Follicular non-Hodgkin╞s Lymphoma cases, 269 diffuse large B-cell non-Hodgkin╞s Lymphoma cases, 198 other non-Hodgkin╞s Lymphoma cases, 202 Hodgkin╞s Lymphoma cases, 4,044 controls</t>
  </si>
  <si>
    <t>202 European ancestry Follicular non-Hodgkin╞s Lymphoma cases, 367 European ancestry diffuse large B-cell non-Hodgkin╞s Lymphoma cases, 577 European ancestry other non-Hodgkin╞s Lymphoma cases, 99 European ancestry Hodgkin╞s Lymphoma cases, 2,596 European ancestry controls</t>
  </si>
  <si>
    <t>Affymetrix [530,583]</t>
  </si>
  <si>
    <t>Macronutrient intake</t>
  </si>
  <si>
    <t>Novel locus including FGF21 is associated with dietary macronutrient intake.</t>
  </si>
  <si>
    <t>33,533 European ancestry individuuals</t>
  </si>
  <si>
    <t>38,360 European ancestry individuuals</t>
  </si>
  <si>
    <t>Illumina and Affymetrix [~2.6 million] (imputed)</t>
  </si>
  <si>
    <t>Genome-wide meta-analysis of observational studies shows common genetic variants associated with macronutrient intake.</t>
  </si>
  <si>
    <t>37,537 European ancestry individuals</t>
  </si>
  <si>
    <t>33,533 European ancestry individuals</t>
  </si>
  <si>
    <t>Illumina &amp; Affymetrix [2.5 million] (imputed)</t>
  </si>
  <si>
    <t>Psychiatric GWAS Consortium</t>
  </si>
  <si>
    <t>A mega-analysis of genome-wide association studies for major depressive disorder.</t>
  </si>
  <si>
    <t>9,240 European ancestry cases, 9,519 European ancestry controls</t>
  </si>
  <si>
    <t>6,783 European ancestry cases, 50,695 European ancestry controls</t>
  </si>
  <si>
    <t>Affymetrix, Illumina &amp; Perlegen [~1.2 million](imputed)</t>
  </si>
  <si>
    <t>Power</t>
  </si>
  <si>
    <t>Major depression (age of onset)</t>
  </si>
  <si>
    <t>Dissecting the genetic heterogeneity of depression through age at onset.</t>
  </si>
  <si>
    <t>Up to 2,746 European ancestry cases, 1,584 European ancestry controls</t>
  </si>
  <si>
    <t>1,383 European ancestry cases, 1,403 European ancestry controls</t>
  </si>
  <si>
    <t>Illumina [471,581]</t>
  </si>
  <si>
    <t>Major depressive disorder</t>
  </si>
  <si>
    <t>Multi-locus genome-wide association analysis supports the role of glutamatergic synaptic transmission in the etiology of major depressive disorder.</t>
  </si>
  <si>
    <t>4346 cases and 4430 controls</t>
  </si>
  <si>
    <t>Illumina, Affymetrix, &amp; imputed [1,386,571]</t>
  </si>
  <si>
    <t>Band</t>
  </si>
  <si>
    <t>Imputation-based meta-analysis of severe malaria in three African populations.</t>
  </si>
  <si>
    <t xml:space="preserve">5,425 African ancestry cases, 6,891 Afican ancestry controls </t>
  </si>
  <si>
    <t>Illumina [1.3 million] (imputed)</t>
  </si>
  <si>
    <t>Timmann</t>
  </si>
  <si>
    <t>Malaria (severe malaria)</t>
  </si>
  <si>
    <t>Genome-wide association study indicates two novel resistance loci for severe malaria.</t>
  </si>
  <si>
    <t>1,325 African ancestry, 828 African ancestry controls</t>
  </si>
  <si>
    <t>2,229 African ancestry cases, 3,526 African ancestry controls</t>
  </si>
  <si>
    <t>Affymetrix [4,205,739] (imputed)</t>
  </si>
  <si>
    <t>Kosova</t>
  </si>
  <si>
    <t>Male fertility (family size, birth rate)</t>
  </si>
  <si>
    <t>Genome-wide association study identifies candidate genes for male fertility traits in humans.</t>
  </si>
  <si>
    <t>269 Hutterite males</t>
  </si>
  <si>
    <t>72 Hispanic males, 32 African American males, 11 Middle Eastern ancestry males, 5 European ancestry males, 3 Asian ancestry males</t>
  </si>
  <si>
    <t>Affymetrix [248,210]</t>
  </si>
  <si>
    <t>Matullo</t>
  </si>
  <si>
    <t>Malignant pleural mesothelioma</t>
  </si>
  <si>
    <t>Cancer;Environment;Pulmonary</t>
  </si>
  <si>
    <t>Genetic variants associated with increased risk of malignant pleural mesothelioma: a genome-wide association study.</t>
  </si>
  <si>
    <t>392 European ancestry cases, 367 European ancestry controls</t>
  </si>
  <si>
    <t>428 European ancestry cases, 1,269 European ancestry controls</t>
  </si>
  <si>
    <t>Illumina [5 million] (imputed)</t>
  </si>
  <si>
    <t>Maternally-mediated genetic effects and parent-of-origin effects on risk of orofacial clefting</t>
  </si>
  <si>
    <t>Am J Med Genet A</t>
  </si>
  <si>
    <t>Genome wide study of maternal and parent-of-origin effects on the etiology of orofacial clefts.</t>
  </si>
  <si>
    <t>1,094 European ancestry triads, 1,277 Asian ancestry triads and 87 other ancestry triads</t>
  </si>
  <si>
    <t>Stocco</t>
  </si>
  <si>
    <t>Mercaptopurine toxicity in acute lymphoblastic leukemia</t>
  </si>
  <si>
    <t>Drug response;Cancer;Blood-related;Developmental;Blood cancer;Leukemia;Adverse drug reaction (ADR);Gastrointestinal</t>
  </si>
  <si>
    <t>PACSIN2 polymorphism influences TPMT activity and mercaptopurine-related gastrointestinal toxicity.</t>
  </si>
  <si>
    <t>89 CEPH lymphoblastoid cell lines</t>
  </si>
  <si>
    <t>299 individuals</t>
  </si>
  <si>
    <t>Del-Aguila</t>
  </si>
  <si>
    <t>Metabolic response to hydrochlorothiazide</t>
  </si>
  <si>
    <t>Drug response;Quantitative trait(s);Blood-related;Blood pressure;Lipids;CVD risk factor (CVD RF)</t>
  </si>
  <si>
    <t>Genome-wide association analyses suggest NELL1 influences adverse metabolic response to HCTZ in African Americans.</t>
  </si>
  <si>
    <t>425 European ancestry cases, 342 African American cases</t>
  </si>
  <si>
    <t>Illumina and Affymetrics [&gt;2 million] (imputed)</t>
  </si>
  <si>
    <t>Kristiansson</t>
  </si>
  <si>
    <t>Metabolic syndrome (HDL cholesterol, triglycerides, plasma glucose, waist circumference, systolic and diastolic blood pressure)</t>
  </si>
  <si>
    <t>CVD risk factor (CVD RF);Lipids;Type 2 diabetes (T2D);Adipose-related;Blood pressure;Plasma;Blood-related</t>
  </si>
  <si>
    <t>Genome-Wide Screen for Metabolic Syndrome Susceptibility Loci Reveals Strong Lipid Gene Contribution but No Evidence for Common Genetic Basis for Clustering of Metabolic Syndrome Traits.</t>
  </si>
  <si>
    <t>2,637 European ancestry cases, 7,927 European ancestry controls</t>
  </si>
  <si>
    <t>Illumina [1,257,079] (imputed)</t>
  </si>
  <si>
    <t>Xie</t>
  </si>
  <si>
    <t>Metabolites related insulin sensitivity in non-diabetics, in plasma</t>
  </si>
  <si>
    <t>Genetic variants associated with glycine metabolism and their role in insulin sensitivity and type 2 diabetes.</t>
  </si>
  <si>
    <t>1,004 European ancestry individuals</t>
  </si>
  <si>
    <t>339 European ancestry individuals</t>
  </si>
  <si>
    <t>Affymetrix [909,508] (imputed)</t>
  </si>
  <si>
    <t>Novel Loci for metabolic networks and multi-tissue expression studies reveal genes for atherosclerosis.</t>
  </si>
  <si>
    <t>6,608 European ancestry individuals</t>
  </si>
  <si>
    <t>Kettunen</t>
  </si>
  <si>
    <t>Genome-wide association study identifies multiple loci influencing human serum metabolite levels.</t>
  </si>
  <si>
    <t>8,330 European ancestry individuals</t>
  </si>
  <si>
    <t>Metabolites, in serum in prostate cancer</t>
  </si>
  <si>
    <t>Quantitative trait(s);Blood-related;Serum;Reproductive;Gender;Male;Prostate cancer</t>
  </si>
  <si>
    <t>A genome-wide assessment of variability in human serum metabolism.</t>
  </si>
  <si>
    <t xml:space="preserve">214 European ancestry prostate cancer cases, 188 European ancestry controls </t>
  </si>
  <si>
    <t>489 European ancestry prostate cancer cases</t>
  </si>
  <si>
    <t>Affymetrix [333,722]</t>
  </si>
  <si>
    <t>Methamphetamine-induced psychosis and schizophrenia</t>
  </si>
  <si>
    <t>Neuro;Addiction;Narcotics;Behavioral;Schizophrenia;Adverse drug reaction (ADR)</t>
  </si>
  <si>
    <t>Evidence for shared genetic risk between methamphetamine-induced psychosis and schizophrenia.</t>
  </si>
  <si>
    <t>236 Japanese ancestry cases, 864 Japanese ancestry controls</t>
  </si>
  <si>
    <t>Affymetrix [244,224]</t>
  </si>
  <si>
    <t>Ramsey</t>
  </si>
  <si>
    <t>Methotrexate clearance in acute lymphoblastic leukemia</t>
  </si>
  <si>
    <t>Genome-wide study of methotrexate clearance replicates SLCO1B1.</t>
  </si>
  <si>
    <t>22 East Asian ancestry cases, 58 African ancestry, African American, or Afro-Caribbean ancestry cases, 266 Hispanic, or Latin American ancestry cases, 806 European ancestry cases, 127 other ancestry cases</t>
  </si>
  <si>
    <t>699 European ancestry cases</t>
  </si>
  <si>
    <t>Affymetrix [~5.2 million] (imputed)</t>
  </si>
  <si>
    <t>Midregional-proadrenomedullin and C-terminal-pro-endothelin-1, in plasma</t>
  </si>
  <si>
    <t>Genome-wide association study on plasma levels of midregional-proadrenomedullin and C-terminal-pro-endothelin-1.</t>
  </si>
  <si>
    <t>3,444 Euorpean ancestry individuals</t>
  </si>
  <si>
    <t>3,230 European ancestry individuals</t>
  </si>
  <si>
    <t>Neurogenetics</t>
  </si>
  <si>
    <t>A genome-wide analysis of 'Bounty' descendants implicates several novel variants in migraine susceptibility.</t>
  </si>
  <si>
    <t xml:space="preserve">76 Norfolk Island founder cases, 209 Norfolk Island founder controls </t>
  </si>
  <si>
    <t>4,705 European ancestry cases, 21,008 European ancestry controls</t>
  </si>
  <si>
    <t>Illumina [544,590}</t>
  </si>
  <si>
    <t>Frellinger</t>
  </si>
  <si>
    <t>Migraine without aura</t>
  </si>
  <si>
    <t>Genome-wide association analysis identifies susceptibility loci for migraine without aura.</t>
  </si>
  <si>
    <t>2,326 European ancestry cases, 4,580 European ancestry controls</t>
  </si>
  <si>
    <t>2,508 European ancestry cases, 2,652 European ancestry controls</t>
  </si>
  <si>
    <t>Illumina [1,246,388] (imputed)</t>
  </si>
  <si>
    <t>Luykx</t>
  </si>
  <si>
    <t>Monoamine metabolite levels in cerebrospinal fluid</t>
  </si>
  <si>
    <t>Genome-wide association study of monoamine metabolite levels in human cerebrospinal fluid.</t>
  </si>
  <si>
    <t>Up to 398 European ancestry individuals</t>
  </si>
  <si>
    <t>Illumina [5,767,231] (imputed)</t>
  </si>
  <si>
    <t>Voruganti</t>
  </si>
  <si>
    <t>Monocyte chemoattractant protein-1 (MCP-1) in obese children</t>
  </si>
  <si>
    <t>Inflammation;Quantitative trait(s);Blood-related;Quantitative trait(s);Weight;Body mass index;CVD risk factor (CVD RF);Developmental</t>
  </si>
  <si>
    <t>Cytokine</t>
  </si>
  <si>
    <t>Genome-wide association replicates the association of Duffy antigen receptor for chemokines (DARC) polymorphisms with serum monocyte chemoattractant protein-1 (MCP-1) levels in Hispanic children.</t>
  </si>
  <si>
    <t>815 Hispanic children</t>
  </si>
  <si>
    <t>Multiple cancer types (lung cancer, noncardia gastric cancer, esophageal squamous-cell carcinoma)</t>
  </si>
  <si>
    <t>Cancer;Lung cancer;Pulmonary;Gastric cancer;Gastrointestinal;Skin-related;Esophageal cancer</t>
  </si>
  <si>
    <t>Genetic variants at 6p21.1 and 7p15.3 are associated with risk of multiple cancers in Han Chinese.</t>
  </si>
  <si>
    <t>2,331 Han Chinese ancestry lung cancer cases, 1,006 Han Chinese ancestry non-cardia gastric cancer cases, 2,031 Han Chinese ancestry esophageal squamous-cell carcinoma cases, 4,006 Han Chinese ancestry controls</t>
  </si>
  <si>
    <t>2,665 Han Chinese ancestry lung cancer cases, 3,330 Han Chinese ancestry non-cardia gastric cancer cases, 3,006 Han Chinese ancestry esophageal squamous-cell carcinoma cases, 11,436 Han Chinese ancestry controls</t>
  </si>
  <si>
    <t>Matesanz</t>
  </si>
  <si>
    <t>Genome-wide association study of multiple sclerosis confirms a novel locus at 5p13.1.</t>
  </si>
  <si>
    <t>2,127 European ancestry cases, 4,558 European ancestry controls</t>
  </si>
  <si>
    <t>2,785 European ancestry cases, 2,940 European ancestry controls</t>
  </si>
  <si>
    <t>Affymetrix &amp; Illumina [130,903]</t>
  </si>
  <si>
    <t>Gourraud</t>
  </si>
  <si>
    <t>Multiple sclerosis (brain lesion distribution in multiple sclerosis)</t>
  </si>
  <si>
    <t>Neuro;Inflammation;Multiple sclerosis (MS);Imaging</t>
  </si>
  <si>
    <t>A genome-wide association study of brain lesion distribution in multiple sclerosis.</t>
  </si>
  <si>
    <t>284 European ancestry individuals</t>
  </si>
  <si>
    <t>Illumina [208,975]</t>
  </si>
  <si>
    <t>Mero</t>
  </si>
  <si>
    <t>Multiple sclerosis (oligoclonal bands in multiple sclerosis)</t>
  </si>
  <si>
    <t>Oligoclonal band status in Scandinavian multiple sclerosis patients is associated with specific genetic risk alleles.</t>
  </si>
  <si>
    <t>1,367 European ancestry OCB positive cases, 161 European ancestry OCB negative cases</t>
  </si>
  <si>
    <t>3,029 European ancestry OCB positive cases, 374 European ancestry OCB negative cases</t>
  </si>
  <si>
    <t>Illumina [495,970]</t>
  </si>
  <si>
    <t>Martinelli-Boneschi</t>
  </si>
  <si>
    <t>Multiple sclerosis, progressive</t>
  </si>
  <si>
    <t>Mult Scler</t>
  </si>
  <si>
    <t>A genome-wide association study in progressive multiple sclerosis.</t>
  </si>
  <si>
    <t>197 European ancestry cases, 234 European ancestry controls</t>
  </si>
  <si>
    <t>379 European ancestry cases, 398 European ancestry controls</t>
  </si>
  <si>
    <t>Affymetrix [277,866]</t>
  </si>
  <si>
    <t>1000 Genomes-based imputation identifies novel and refined associations for the Wellcome Trust Case Control Consortium phase 1 Data.</t>
  </si>
  <si>
    <t>16,179 European ancestry individuals</t>
  </si>
  <si>
    <t>Gregersen</t>
  </si>
  <si>
    <t>Myasthenia gravis</t>
  </si>
  <si>
    <t>Neuro;Inflammation;Muscle-related;Myasthenia gravis;Immune-related</t>
  </si>
  <si>
    <t>Risk for myasthenia gravis maps to a (151) Pro&amp;#x02192;Ala change in TNIP1 and to human leukocyte antigen-B*08.</t>
  </si>
  <si>
    <t>400 European ancestry cases, 5,505 European ancestry controls</t>
  </si>
  <si>
    <t>249 European ancestry cases, 3,415 European ancestry controls</t>
  </si>
  <si>
    <t>Illumina [274,256]</t>
  </si>
  <si>
    <t>Myeloperoxidase levels</t>
  </si>
  <si>
    <t>Quantitative trait(s);Blood-related;Serum;Plasma</t>
  </si>
  <si>
    <t>Genome-wide and gene-centric analyses of circulating myeloperoxidase levels in the charge and care consortia.</t>
  </si>
  <si>
    <t>9,260 European ancestry individuals</t>
  </si>
  <si>
    <t>Illumina &amp; Affymetrix [2,421,770]</t>
  </si>
  <si>
    <t>Kiefer</t>
  </si>
  <si>
    <t>Genome-wide analysis points to roles for extracellular matrix remodeling, the visual cycle, and neuronal development in myopia.</t>
  </si>
  <si>
    <t>45771 individuals</t>
  </si>
  <si>
    <t>8323 individuals</t>
  </si>
  <si>
    <t>Illumina &amp; imputed [7.087,609]</t>
  </si>
  <si>
    <t>Meng</t>
  </si>
  <si>
    <t>Myopia (high myopia)</t>
  </si>
  <si>
    <t>A genome-wide association study provides evidence for association of chromosome 8p23 (MYP10) and 10q21.1 (MYP15) with high myopia in the French Population.</t>
  </si>
  <si>
    <t>187 European ancestry cases, 1064 European ancestry controls</t>
  </si>
  <si>
    <t>Affymetrix &amp; Illumina [152,234]</t>
  </si>
  <si>
    <t>A genome-wide meta-analysis identifies two novel loci associated with high myopia in the Han Chinese population.</t>
  </si>
  <si>
    <t>665 Han Chinese ancestry cases, 960 Han Chinese ancestry controls</t>
  </si>
  <si>
    <t>2,128 Han Chinese ancestry cases, 3,683 Han Chinese ancestry controls</t>
  </si>
  <si>
    <t>Illumina [286,031]</t>
  </si>
  <si>
    <t>Verhoeven</t>
  </si>
  <si>
    <t>Genome-wide meta-analyses of multiancestry cohorts identify multiple new susceptibility loci for refractive error and myopia.</t>
  </si>
  <si>
    <t>37,382 European ancestry individuals, 578 Han Chinese ancestry individuals, 3,417 Singaporean Chinese ancestry individuals, 2,273 Singaporean Malay ancestry individuals, 2,108 Singaporean Indian ancestry individuals</t>
  </si>
  <si>
    <t>Faraco</t>
  </si>
  <si>
    <t>ImmunoChip study implicates antigen presentation to T cells in narcolepsy.</t>
  </si>
  <si>
    <t>1886 cases and 10421 controls</t>
  </si>
  <si>
    <t>Illumina &amp; imputed [111,240]</t>
  </si>
  <si>
    <t>Luca</t>
  </si>
  <si>
    <t>Narcolepsy with cataplexy</t>
  </si>
  <si>
    <t>J Sleep Res</t>
  </si>
  <si>
    <t>Clinical, polysomnographic and genome-wide association analyses of narcolepsy with cataplexy: a European Narcolepsy Network study.</t>
  </si>
  <si>
    <t>585 European ancestry cases</t>
  </si>
  <si>
    <t>387 European ancestry cases</t>
  </si>
  <si>
    <t>Nasion Position</t>
  </si>
  <si>
    <t>Nasal;Anthropometric;Quantitative trait(s)</t>
  </si>
  <si>
    <t>Genome-wide Association Study of Three-Dimensional Facial Morphology Identifies a Variant in PAX3 Associated with Nasion Position.</t>
  </si>
  <si>
    <t>2,185 European ancestry adolescents</t>
  </si>
  <si>
    <t>1,622 European ancestry adolescents</t>
  </si>
  <si>
    <t>The principal genetic determinants for nasopharyngeal carcinoma in China involve the HLA class I antigen recognition groove.</t>
  </si>
  <si>
    <t>Up to 1,405 Han Chinese ancestry cases, Up to 2,650 Han Chinese ancestry controls</t>
  </si>
  <si>
    <t>356 Han Chinese ancestry cases, 629 Han Chinese ancestry controls</t>
  </si>
  <si>
    <t>Affymetrix [591,458]</t>
  </si>
  <si>
    <t>Oudot-Mellakh</t>
  </si>
  <si>
    <t>Natural anticoagulant inhibitors and protein C anticoagulant pathway in venous thrombosis, in plasma</t>
  </si>
  <si>
    <t>Cardiovascular disease (CVD);Stroke;Platelet;Venous;Thrombosis;Quantitative trait(s);Blood-related;Plasma</t>
  </si>
  <si>
    <t>Genome wide association study for plasma levels of natural anticoagulant inhibitors and protein C anticoagulant pathway: the MARTHA project.</t>
  </si>
  <si>
    <t>951 European ancestry individuals</t>
  </si>
  <si>
    <t>Illumina [472,123]</t>
  </si>
  <si>
    <t>A genome-wide association study of nephrolithiasis in the Japanese population identifies novel susceptible Loci at 5q35.3, 7p14.3, and 13q14.1.</t>
  </si>
  <si>
    <t>904 Japanese ancestry cases, 7,471 Japanese ancestry controls</t>
  </si>
  <si>
    <t>4,892 Japanese ancestry cases, 9,873 Japanese ancestry controls</t>
  </si>
  <si>
    <t>Illumina [556,249]</t>
  </si>
  <si>
    <t>Association testing of previously reported variants in a large case-control meta-analysis of diabetic nephropathy.</t>
  </si>
  <si>
    <t>2963 cases and 3399 controls</t>
  </si>
  <si>
    <t>Illumina, Affymetrix, &amp; imputed [~2.4 million]</t>
  </si>
  <si>
    <t>Diskin</t>
  </si>
  <si>
    <t>Common variation at 6q16 within HACE1 and LIN28B influences susceptibility to neuroblastoma.</t>
  </si>
  <si>
    <t>2,101 European ancestry cases, 4,202 European ancestry controls</t>
  </si>
  <si>
    <t>351 European ancestry cases, 780 European ancestry controls, 365 African American cases, 2,491 African American controls</t>
  </si>
  <si>
    <t>Illumina [426,697]</t>
  </si>
  <si>
    <t>Neurodevelopmental phenotypes at four-year follow-up following cardiac surgery in infancy</t>
  </si>
  <si>
    <t>Congenital;Heart;Surgery;Treatment response;Neuro;Behavioral;Attention-deficit/hyperactivity disorder (ADHD)</t>
  </si>
  <si>
    <t>Results of genome-wide analyses on neurodevelopmental phenotypes at four-year follow-up following cardiac surgery in infancy.</t>
  </si>
  <si>
    <t>316 individuals</t>
  </si>
  <si>
    <t>Illumina [514,139]</t>
  </si>
  <si>
    <t>Neuropsychological treatments and metabolic and cardiovascular risk factors (HDL cholesterol, BMI)</t>
  </si>
  <si>
    <t>Drug response;Neuro;Behavioral;Bipolar disorder;Schizophrenia;Adverse drug reaction (ADR);Quantitative trait(s);Weight;CVD risk factor (CVD RF);Body mass index;Lipids</t>
  </si>
  <si>
    <t>Genome-wide association study identifies genetic loci associated with body mass index and high density lipoprotein-cholesterol levels during psychopharmacological treatment - a cross-sectional naturalistic study.</t>
  </si>
  <si>
    <t>283 European ancestry schizophrenia cases, 213 European ancestry bipolar disorder cases, 98 European ancestry psychosis cases</t>
  </si>
  <si>
    <t>Affymetrix [608,239]</t>
  </si>
  <si>
    <t>J Mol Neurosci</t>
  </si>
  <si>
    <t>TMPRSS9 and GRIN2B are associated with neuroticism: a genome-wide association study in a European sample.</t>
  </si>
  <si>
    <t>2,748 European ancestry cases</t>
  </si>
  <si>
    <t>Perlegen [437,547]</t>
  </si>
  <si>
    <t>Neutropenia or leukopenia in response to chemotherapeutic agents</t>
  </si>
  <si>
    <t>Drug response;Cancer;Adverse drug reaction (ADR);Blood-related;Immune-related</t>
  </si>
  <si>
    <t>Cancer Sci</t>
  </si>
  <si>
    <t>Genome-wide association study of chemotherapeutic agent-induced severe neutropenia/leucopenia for patients in Biobank Japan.</t>
  </si>
  <si>
    <t>177 Japanese ancestry cases, 952 Japanese ancestry controls</t>
  </si>
  <si>
    <t>Illumina [733,202]</t>
  </si>
  <si>
    <t>N-glycosylation of IgG in plasma</t>
  </si>
  <si>
    <t>Loci associated with N-glycosylation of human immunoglobulin G show pleiotropy with autoimmune diseases and haematological cancers.</t>
  </si>
  <si>
    <t>1,848 European ancestry individuals</t>
  </si>
  <si>
    <t>ANAPC1 and SLCO3A1 are associated with nicotine dependence: Meta-analysis of genome-wide association studies.</t>
  </si>
  <si>
    <t>1,079 European ancestry cases, 1,341 European ancestry controls</t>
  </si>
  <si>
    <t>1,419 cases, 1,885 controls from 778 nuclear families</t>
  </si>
  <si>
    <t>Illumina [818,866]</t>
  </si>
  <si>
    <t>Rice</t>
  </si>
  <si>
    <t>Addiction</t>
  </si>
  <si>
    <t>CHRNB3 is more strongly associated with Fagerstr&amp;#x000f6;m test for cigarette dependence-based nicotine dependence than cigarettes per day: phenotype definition changes genome-wide association studies results.</t>
  </si>
  <si>
    <t>2,267 European ancestry individuals, 99 Hispanic individuals, 999 African American individuals</t>
  </si>
  <si>
    <t>835 individuals</t>
  </si>
  <si>
    <t>Illumina [948,658]</t>
  </si>
  <si>
    <t>Tozzi</t>
  </si>
  <si>
    <t>Nicotine dependence, relapse</t>
  </si>
  <si>
    <t>A genomewide association study of smoking relapse in four European population-based samples.</t>
  </si>
  <si>
    <t>835 EA cases and 990 EA controls</t>
  </si>
  <si>
    <t>1,934 EA cases and 983 EA controls</t>
  </si>
  <si>
    <t>Affymetrix &amp; imputed [~2.5 million]</t>
  </si>
  <si>
    <t>Schifano</t>
  </si>
  <si>
    <t>Genome-wide association analysis for multiple continuous secondary phenotypes.</t>
  </si>
  <si>
    <t>809 cases and 892 controls</t>
  </si>
  <si>
    <t>Illumina [513,271]</t>
  </si>
  <si>
    <t>David</t>
  </si>
  <si>
    <t>Genome-wide meta-analyses of smoking behaviors in African Americans.</t>
  </si>
  <si>
    <t>Up to 32,389 African American individuals</t>
  </si>
  <si>
    <t>Affymetrix &amp; Illumina [~2.9 million] (imputed)</t>
  </si>
  <si>
    <t>Kumasaka</t>
  </si>
  <si>
    <t>Haplotypes with copy number and single nucleotide polymorphisms in CYP2A6 locus are associated with smoking quantity in a Japanese population.</t>
  </si>
  <si>
    <t>11,696 Japanese ancestry smokers</t>
  </si>
  <si>
    <t>5,462 Japanese ancestry smokers</t>
  </si>
  <si>
    <t>Illumina [2,312,503] (imputed)</t>
  </si>
  <si>
    <t>Non-Albumin, albumin and total protein, serum</t>
  </si>
  <si>
    <t>Association of common variants in TNFRSF13B, TNFSF13, and ANXA3 with serum levels of non-albumin protein and immunoglobulin isotypes in Japanese.</t>
  </si>
  <si>
    <t>Up to 9,103 Japanese ancestry individuals</t>
  </si>
  <si>
    <t>Up to 1,629 Japanese ancestry individuals</t>
  </si>
  <si>
    <t>Illumina [2,178,644] (imputed)</t>
  </si>
  <si>
    <t>Adams</t>
  </si>
  <si>
    <t>Association between liver-specific gene polymorphisms and their expression levels with nonalcoholic fatty liver disease.</t>
  </si>
  <si>
    <t>126 European ancestry adolescent cases, 802 European ancestry adolescent controls</t>
  </si>
  <si>
    <t>Illumina [2,078,805] (imputed)</t>
  </si>
  <si>
    <t>Kawaguchi</t>
  </si>
  <si>
    <t>Genetic Polymorphisms of the Human PNPLA3 Gene Are Strongly Associated with Severity of Non-Alcoholic Fatty Liver Disease in Japanese.</t>
  </si>
  <si>
    <t>1,461 Japanese</t>
  </si>
  <si>
    <t>Illumina [484,751]</t>
  </si>
  <si>
    <t>Kitamoto</t>
  </si>
  <si>
    <t>Genome-wide scan revealed that polymorphisms in the PNPLA3, SAMM50, and PARVB genes are associated with development and progression of nonalcoholic fatty liver disease in Japan.</t>
  </si>
  <si>
    <t>392 Japanese ancestry cases, 934 Japanese ancestry controls</t>
  </si>
  <si>
    <t>172 Japanese ancestry cases, 1,012 Japanese ancestry controls</t>
  </si>
  <si>
    <t>Illumina [261,540]</t>
  </si>
  <si>
    <t>Nonobstructive Azoospermia</t>
  </si>
  <si>
    <t>A genome-wide association study reveals that variants within the HLA region are associated with risk for nonobstructive azoospermia.</t>
  </si>
  <si>
    <t>802 Han Chinese ancestry cases, 1,863 Han Chinese ancestry controls</t>
  </si>
  <si>
    <t>1,424 Han Chinese ancestry cases, 2,713 Han Chinese ancestry controls</t>
  </si>
  <si>
    <t>Illumina &amp; Affymetrix [912,924]</t>
  </si>
  <si>
    <t>Justice</t>
  </si>
  <si>
    <t>Nonsyndromic sagittal craniosynostosis</t>
  </si>
  <si>
    <t>Congenital;Neuro;Bone-related</t>
  </si>
  <si>
    <t>A genome-wide association study identifies susceptibility loci for nonsyndromic sagittal craniosynostosis near BMP2 and within BBS9.</t>
  </si>
  <si>
    <t>130 European ancestry trios</t>
  </si>
  <si>
    <t>172 Other ancestry cases, 548 Other ancestry controls</t>
  </si>
  <si>
    <t>Illumina [915,307]</t>
  </si>
  <si>
    <t>Tung</t>
  </si>
  <si>
    <t>Nonsyndromic striae distensae</t>
  </si>
  <si>
    <t>Genome-wide association analysis implicates elastic microfibrils in the development of nonsyndromic striae distensae.</t>
  </si>
  <si>
    <t>13068 EA cases and 20862 EA controls</t>
  </si>
  <si>
    <t>4967 EA women</t>
  </si>
  <si>
    <t>Illumina &amp; imputed [7,356,559]</t>
  </si>
  <si>
    <t>Velez Edwards</t>
  </si>
  <si>
    <t>Obesity traits in postmenopausal women</t>
  </si>
  <si>
    <t>Gene-environment interactions and obesity traits among postmenopausal African-American and Hispanic women in the Women's Health Initiative SHARe Study.</t>
  </si>
  <si>
    <t>8,203 African American women, 3,484 Hispanic ancestry women</t>
  </si>
  <si>
    <t>Affymetrix [706,791]</t>
  </si>
  <si>
    <t>Comuzzie</t>
  </si>
  <si>
    <t>Obesity, childhood</t>
  </si>
  <si>
    <t>Novel genetic loci identified for the pathophysiology of childhood obesity in the Hispanic population.</t>
  </si>
  <si>
    <t>815 Hispanic children from 263 families</t>
  </si>
  <si>
    <t>Illumina [899,892]</t>
  </si>
  <si>
    <t>A genome-wide association meta-analysis identifies new childhood obesity loci.</t>
  </si>
  <si>
    <t>5,530 European ancestry cases, 8,318 European ancestry controls</t>
  </si>
  <si>
    <t>2,214 European ancestry cases, 2,674 European ancestry controls</t>
  </si>
  <si>
    <t>Affymetrix &amp; Illumina [2.7 million] (imputed)</t>
  </si>
  <si>
    <t>Obesity, early onset</t>
  </si>
  <si>
    <t>Genome-wide SNP and CNV analysis identifies common and low-frequency variants associated with severe early-onset obesity.</t>
  </si>
  <si>
    <t>1,509 European ancestry cases, 5,380 European ancestry controls</t>
  </si>
  <si>
    <t>971 European ancestry cases, 1,990 European ancestry controls</t>
  </si>
  <si>
    <t>Affymetrix [~2 million] (imputed)</t>
  </si>
  <si>
    <t>Stewart</t>
  </si>
  <si>
    <t>Obsessive-compulsive disorder</t>
  </si>
  <si>
    <t>Neuro;Behavioral;Obsessive-compulsive disorder (OCD)</t>
  </si>
  <si>
    <t>Genome-wide association study of obsessive-compulsive disorder.</t>
  </si>
  <si>
    <t>1,279 European ancestry cases, 5,139 European ancestry controls, 93 South African Afrikaner ancestry cases, 158  South African Afrikaner ancestry controls, 93 Ashkenazi Jewish cases, 260 Ashkenazi Jewish controls, 299 European ancestry trios, 101 trios</t>
  </si>
  <si>
    <t>Illumina [479,067]</t>
  </si>
  <si>
    <t>Ocular axial length and high myopia</t>
  </si>
  <si>
    <t>Quantitative trait(s);Eye-related;Developmental</t>
  </si>
  <si>
    <t>Genetic variants on chromosome 1q41 influence ocular axial length and high myopia.</t>
  </si>
  <si>
    <t>2,789 Singaporean Chinese ancestry individuals, 2,155 Singaporean Malay ancestry individuals</t>
  </si>
  <si>
    <t>Illumina [456,634]</t>
  </si>
  <si>
    <t>Opiates addiction</t>
  </si>
  <si>
    <t>ScientificWorldJournal</t>
  </si>
  <si>
    <t>NCK2 is significantly associated with opiates addiction in African-origin men.</t>
  </si>
  <si>
    <t>1,393 European ancestry women, 1,131 European ancestry men, 568 African ancestry women, 535 African ancestry men</t>
  </si>
  <si>
    <t>Illumina [859,185]</t>
  </si>
  <si>
    <t>Nishizawa</t>
  </si>
  <si>
    <t>Opioid sensitivity in healthy subjects</t>
  </si>
  <si>
    <t>Drug response;Neuro;Addiction;Pain;Narcotics</t>
  </si>
  <si>
    <t>Genome-wide association study identifies a potent locus associated with human opioid sensitivity.</t>
  </si>
  <si>
    <t>118 Japanese ancestry individuals</t>
  </si>
  <si>
    <t>235 Japanese ancestry individuals</t>
  </si>
  <si>
    <t>Illumina [295,036]</t>
  </si>
  <si>
    <t>Zeggini &amp; Panoutsopoulou</t>
  </si>
  <si>
    <t>Identification of new susceptibility loci for osteoarthritis (arcOGEN): a genome-wide association study</t>
  </si>
  <si>
    <t>18,419 European ancestry samples</t>
  </si>
  <si>
    <t>50,411 European ancestry samples</t>
  </si>
  <si>
    <t>Illumina [524,234]</t>
  </si>
  <si>
    <t>Castano Betancourt</t>
  </si>
  <si>
    <t>Osteoarthritis (hip) and joint-space width (cartilage thickness)</t>
  </si>
  <si>
    <t>Bone-related;Arthritis;Quantitative trait(s);Imaging</t>
  </si>
  <si>
    <t>Genome-wide association and functional studies identify the DOT1L gene to be involved in cartilage thickness and hip osteoarthritis.</t>
  </si>
  <si>
    <t>6,523 European ancestry individuals</t>
  </si>
  <si>
    <t>4,442 European ancestry individuals</t>
  </si>
  <si>
    <t>Illumina [2,455,290] (imputed)</t>
  </si>
  <si>
    <t>Meta-analysis identifies a MECOM gene as a novel predisposing factor of osteoporotic fracture.</t>
  </si>
  <si>
    <t>288 Korean ancestry cases, 1,139 Korean ancestry controls</t>
  </si>
  <si>
    <t>831 East Asian ancestry cases, 2305 East Asian ancestry controls</t>
  </si>
  <si>
    <t>Affymetrix [1,573,409] (imputed)</t>
  </si>
  <si>
    <t>Rye</t>
  </si>
  <si>
    <t>Otitis media</t>
  </si>
  <si>
    <t>Hearing;Developmental;Inflammation;Infection</t>
  </si>
  <si>
    <t>Genome-wide association study to identify the genetic determinants of otitis media susceptibility in childhood.</t>
  </si>
  <si>
    <t>416 cases and 1,075 controls of European and unknown ancestry</t>
  </si>
  <si>
    <t>~2,083 individuals from 645 families of European and unknown ancestry</t>
  </si>
  <si>
    <t>Illumina [2,509,905] (imputed)</t>
  </si>
  <si>
    <t>Genome-wide association study for ovarian cancer susceptibility using pooled DNA.</t>
  </si>
  <si>
    <t>342 European ancestry cases, 643 European ancestry controls</t>
  </si>
  <si>
    <t>4,651 European ancestry cases, 6,966 European ancestry controls</t>
  </si>
  <si>
    <t>Illumina [914,948] (pooled)</t>
  </si>
  <si>
    <t>Fridley</t>
  </si>
  <si>
    <t>Ovarian cancer survival</t>
  </si>
  <si>
    <t>Cancer;Ovarian cancer;Reproductive;Gender;Female;Mortality</t>
  </si>
  <si>
    <t>Germline copy number variation and ovarian cancer survival.</t>
  </si>
  <si>
    <t>1056 ovarian cancer cases (494 deceased)</t>
  </si>
  <si>
    <t>Illumina [581,903]</t>
  </si>
  <si>
    <t>Ovarian follicle number and menopause</t>
  </si>
  <si>
    <t>Reproductive;Aging;Gender;Female;Menopause</t>
  </si>
  <si>
    <t>Genetic markers of ovarian follicle number and menopause in women of multiple ethnicities.</t>
  </si>
  <si>
    <t>249 EA women and 203 African-American women</t>
  </si>
  <si>
    <t>Makela</t>
  </si>
  <si>
    <t>Oxidized LDL cholesterol levels</t>
  </si>
  <si>
    <t>Genome-wide association study pinpoints a new functional apolipoprotein B variant influencing oxidized low-density lipoprotein levels but not cardiovascular events: AtheroRemo Consortium.</t>
  </si>
  <si>
    <t>2,080 European ancestry individuals</t>
  </si>
  <si>
    <t>4,238 European ancestry individuals</t>
  </si>
  <si>
    <t>Baldwin</t>
  </si>
  <si>
    <t>Paclitaxel-induced sensory peripheral neuropathy</t>
  </si>
  <si>
    <t>Drug response;Adverse drug reaction (ADR);Breast cancer;Gender;Female</t>
  </si>
  <si>
    <t>A genome-wide association study identifies novel loci for paclitaxel-induced sensory peripheral neuropathy in CALGB 40101.</t>
  </si>
  <si>
    <t>855 European ancestry breast cancer cases</t>
  </si>
  <si>
    <t>154 European ancestry breast cancer cases, 117 African American breast cancer cases</t>
  </si>
  <si>
    <t>Illumina [521,600]</t>
  </si>
  <si>
    <t>Drug response;Adverse drug reaction (ADR);Cancer-related;Cell line;Blood-related;Breast cancer;Gender;Female</t>
  </si>
  <si>
    <t>Integration of cell line and clinical trial genome-wide analyses supports a polygenic architecture of Paclitaxel-induced sensory peripheral neuropathy.</t>
  </si>
  <si>
    <t>77 European ancestry lymphoblastoid cell lines, 87 Yoruba lymphoblastoid cell lines, 83 African American lymphoblastoid cell lines</t>
  </si>
  <si>
    <t>Pancreatic adenocarcinoma</t>
  </si>
  <si>
    <t>Cancer;Pancreatic cancer;Pancreas;Mortality</t>
  </si>
  <si>
    <t>Genome-wide association study of survival in patients with pancreatic adenocarcinoma.</t>
  </si>
  <si>
    <t>642 European ancestry cases</t>
  </si>
  <si>
    <t>363 Chinese ancestry cases</t>
  </si>
  <si>
    <t>Illumina [2,731,086] (imputed)</t>
  </si>
  <si>
    <t>Willis</t>
  </si>
  <si>
    <t>Pancreatic cancer and survival</t>
  </si>
  <si>
    <t>A replication study and genome-wide scan of single-nucleotide polymorphisms associated with pancreatic cancer risk and overall survival.</t>
  </si>
  <si>
    <t>252 European ancestry cases</t>
  </si>
  <si>
    <t>798 European ancestry cases, 21 African American cases, 10 East Asian cases, 4 Asian Indian cases</t>
  </si>
  <si>
    <t>Illumina [301,250]</t>
  </si>
  <si>
    <t>Otowa</t>
  </si>
  <si>
    <t>Meta-analysis of genome-wide association studies for panic disorder in the Japanese population.</t>
  </si>
  <si>
    <t>718 Japanese ancestry cases, 1,717 Japanese ancestry controls</t>
  </si>
  <si>
    <t>329 Japanese ancestry cases, 861 Japanese ancestry controls</t>
  </si>
  <si>
    <t>Affymetrix [1.9 million] (imputed)</t>
  </si>
  <si>
    <t>Paraoxonase activity</t>
  </si>
  <si>
    <t>Novel common and rare genetic determinants of paraoxonase activity: FTO, SERPINA12, and ITGAL.</t>
  </si>
  <si>
    <t>1362 EA individuals</t>
  </si>
  <si>
    <t>Illumina [33,057]</t>
  </si>
  <si>
    <t>Paraoxonase and arylesterase activities in serum</t>
  </si>
  <si>
    <t>Clinical and genetic association of serum paraoxonase and arylesterase activities with cardiovascular risk.</t>
  </si>
  <si>
    <t>2,136 European ancestry individuals</t>
  </si>
  <si>
    <t>Affymetrix [2,421,770] (imputed)</t>
  </si>
  <si>
    <t>Lill</t>
  </si>
  <si>
    <t>Comprehensive research synopsis and systematic meta-analyses in Parkinson's disease genetics: The PDGene database.</t>
  </si>
  <si>
    <t>2,197 Other ancestry cases, 2,061 Other ancestry controls</t>
  </si>
  <si>
    <t>Up to 98,080 individuals of European and Asian ancestry</t>
  </si>
  <si>
    <t>Illumina and Perlegen [7,123,920] (imputed)</t>
  </si>
  <si>
    <t>Pankratz</t>
  </si>
  <si>
    <t>Meta-analysis of Parkinson's disease: identification of a novel locus, RIT2.</t>
  </si>
  <si>
    <t>4,238 European ancestry cases, 4,239 European ancestry controls</t>
  </si>
  <si>
    <t>3,738 European ancestry cases, 2,111 European ancestry controls</t>
  </si>
  <si>
    <t>Hernandez</t>
  </si>
  <si>
    <t>Parkinson's disease (early onset)</t>
  </si>
  <si>
    <t>Genome wide assessment of young onset Parkinson's disease from Finland.</t>
  </si>
  <si>
    <t>387 European ancestry cases, 496 European ancestry controls</t>
  </si>
  <si>
    <t>Illumina [5,854,841] (imputed)</t>
  </si>
  <si>
    <t>Parkinson's disease motor and cognitive outcomes</t>
  </si>
  <si>
    <t>Neuro;Parkinson's disease;Cognition;Movement-related</t>
  </si>
  <si>
    <t>Parkinsonism Relat Disord</t>
  </si>
  <si>
    <t>Genomic determinants of motor and cognitive outcomes in Parkinson's disease.</t>
  </si>
  <si>
    <t>443 European ancestry cases</t>
  </si>
  <si>
    <t>Sarig</t>
  </si>
  <si>
    <t>Pemphigus vulgaris</t>
  </si>
  <si>
    <t>Immune-related;Skin-related</t>
  </si>
  <si>
    <t>Population-specific association between a polymorphic variant in ST18, encoding a pro-apoptotic molecule, and pemphigus vulgaris.</t>
  </si>
  <si>
    <t>100 Jewish cases, 397 Jewish controls</t>
  </si>
  <si>
    <t>59 Jewish cases, 285 Jewish controls, 124 European ancestry cases, 275 European anestry controls, 126 North African ancestry controls, 246 North African ancestry controls</t>
  </si>
  <si>
    <t>Illumina [293,635]</t>
  </si>
  <si>
    <t>Stevens</t>
  </si>
  <si>
    <t>Percent mammographic density</t>
  </si>
  <si>
    <t>Cancer-related;Quantitative trait(s);Gender;Female</t>
  </si>
  <si>
    <t>Identification of a novel percent mammographic density locus at 12q24.</t>
  </si>
  <si>
    <t>1,241 European ancestry females</t>
  </si>
  <si>
    <t>9,126 European ancestry females</t>
  </si>
  <si>
    <t>Illumina [2,510,880] (pooled)</t>
  </si>
  <si>
    <t>Knaapila</t>
  </si>
  <si>
    <t>Perception of the odorants androstenone and galaxolide</t>
  </si>
  <si>
    <t>Nasal</t>
  </si>
  <si>
    <t>Chem Senses</t>
  </si>
  <si>
    <t>A Genome-Wide Study on the Perception of the Odorants Androstenone and Galaxolide.</t>
  </si>
  <si>
    <t>1,573 European ancestry young-adult twins and singleton siblings</t>
  </si>
  <si>
    <t>200 European ancestry adult monozygous twin individuals, 26 European ancestry adult dizygous twin individuals</t>
  </si>
  <si>
    <t>Illumina [2.3 million](imputed)</t>
  </si>
  <si>
    <t>Pericardial fat</t>
  </si>
  <si>
    <t>Heart;Adipose-related;Imaging</t>
  </si>
  <si>
    <t>Genome-wide association of pericardial fat identifies a unique locus for ectopic fat.</t>
  </si>
  <si>
    <t>5,487 European ancestry individuals</t>
  </si>
  <si>
    <t>1,442 African American individuals, 1,399 Hispanic individuals, 761 Chinese ancestry individuals</t>
  </si>
  <si>
    <t>Divaris</t>
  </si>
  <si>
    <t>Periodontal pathogen colonization</t>
  </si>
  <si>
    <t>Infection;Dental;Developmental;Bone-related;Oral-related</t>
  </si>
  <si>
    <t>Genome-wide association study of periodontal pathogen colonization.</t>
  </si>
  <si>
    <t>1,020 European ancestry individuals</t>
  </si>
  <si>
    <t>Periodontitis (chronic periodontitis)</t>
  </si>
  <si>
    <t>Exploring the genetic basis of chronic periodontitis: a genome-wide association study.</t>
  </si>
  <si>
    <t>4,504 European ancestry individuals</t>
  </si>
  <si>
    <t>656 European ancestry and African American individuals</t>
  </si>
  <si>
    <t>Affymetrix [2,135,236] (imputed)</t>
  </si>
  <si>
    <t>Weissflog</t>
  </si>
  <si>
    <t>Personality disorders and adult ADHD</t>
  </si>
  <si>
    <t>Eur Neuropsychopharmacol</t>
  </si>
  <si>
    <t>KCNIP4 as a candidate gene for personality disorders and adult ADHD.</t>
  </si>
  <si>
    <t>200 European ancestry Cluster B personality disorder cases, 200 European ancestry Cluster C cases, 600 European ancestry controls</t>
  </si>
  <si>
    <t>Affymetrix [488,634](pooled)</t>
  </si>
  <si>
    <t>Genome-wide association study of personality traits in the long life family study.</t>
  </si>
  <si>
    <t>Up to 2,631 European ancestry individuals</t>
  </si>
  <si>
    <t>Up to 1,287 European ancestry individuals, 1,084 individuals</t>
  </si>
  <si>
    <t>Illumina [Up to ~40,045,518] (imputed)</t>
  </si>
  <si>
    <t>Personality traits and mood states</t>
  </si>
  <si>
    <t>Genome-wide association uncovers shared genetic effects among personality traits and mood states.</t>
  </si>
  <si>
    <t>6,268 European ancestry individuals</t>
  </si>
  <si>
    <t>9,244 European ancestry individuals</t>
  </si>
  <si>
    <t>Hek</t>
  </si>
  <si>
    <t>Personality traits and mood states (depressive affects)</t>
  </si>
  <si>
    <t>A genome-wide association study of depressive symptoms.</t>
  </si>
  <si>
    <t>Up to 34,549 European ancestry individuals</t>
  </si>
  <si>
    <t>Up to 16,709 European ancestry individuals</t>
  </si>
  <si>
    <t>Illumina &amp; Affymetrix [2,391,896] (imputed)</t>
  </si>
  <si>
    <t>Zeng</t>
  </si>
  <si>
    <t>Pit-and-fissure- and smooth-surface carries</t>
  </si>
  <si>
    <t>Genome-wide association studies of pit-and-fissure- and smooth-surface caries in permanent dentition.</t>
  </si>
  <si>
    <t>996 European ancestry individuals</t>
  </si>
  <si>
    <t>Illumina [1.2 million] (imputed)</t>
  </si>
  <si>
    <t>Moore</t>
  </si>
  <si>
    <t>Placental abruption</t>
  </si>
  <si>
    <t>Pregnancy-related;Gender;Female;Reproductive</t>
  </si>
  <si>
    <t>Int J Mol Epidemiol Genet</t>
  </si>
  <si>
    <t>A genome-wide association study of variations in maternal cardiometabolic genes and risk of placental abruption.</t>
  </si>
  <si>
    <t>253 cases and 258 controls</t>
  </si>
  <si>
    <t>Illumina [217,697]</t>
  </si>
  <si>
    <t>Plasma uric acid level in obese and never-overweight individuals</t>
  </si>
  <si>
    <t>Quantitative trait(s);Blood-related;Plasma;Weight;Body mass index;CVD risk factor (CVD RF)</t>
  </si>
  <si>
    <t>A genome wide association study of plasma uric acid levels in obese cases and never-overweight controls.</t>
  </si>
  <si>
    <t>487 European ancestry obese individuals, 472 non-obese individuals</t>
  </si>
  <si>
    <t xml:space="preserve">Illumina [~550,000] </t>
  </si>
  <si>
    <t>Qayyum</t>
  </si>
  <si>
    <t>A meta-analysis and genome-wide association study of platelet count and mean platelet volume in african americans.</t>
  </si>
  <si>
    <t>16,388 African American individuals</t>
  </si>
  <si>
    <t>Affymetrix &amp; Illumina [~2.2 million](imputed)</t>
  </si>
  <si>
    <t>Postula</t>
  </si>
  <si>
    <t>Platelet reactivity in patients with type 2 diabetes during acetylsalicylic acid (ASA) treatment</t>
  </si>
  <si>
    <t>Quantitative trait(s);Blood-related;Platelet;Plasma;Drug response;Type 2 diabetes (T2D);CVD risk factor (CVD RF)</t>
  </si>
  <si>
    <t>J Thromb Thrombolysis</t>
  </si>
  <si>
    <t>New single nucleotide polymorphisms associated with differences in platelets reactivity in patients with type 2 diabetes treated with acetylsalicylic acid: genome-wide association approach and pooled DNA strategy.</t>
  </si>
  <si>
    <t>289 European ancestry type 2 diabetes cases treated with acetylsalicylic acid</t>
  </si>
  <si>
    <t>Illumina [200,251] (pooled)</t>
  </si>
  <si>
    <t>Platelet response, antiplatelets and cardiovascular outcomes</t>
  </si>
  <si>
    <t>Genetic variation in PEAR1 is associated with platelet aggregation and cardiovascular outcomes.</t>
  </si>
  <si>
    <t>565 Amish individuals</t>
  </si>
  <si>
    <t>710 European ancestry individuals, 237 African American/Afro-Caribbean individuals, 276 Hispanic individuals, 4 individuals</t>
  </si>
  <si>
    <t>Affymetrix [400,230]</t>
  </si>
  <si>
    <t>Edelstein</t>
  </si>
  <si>
    <t>Platelet thrombus formation under high shear stress</t>
  </si>
  <si>
    <t>Quantitative trait(s);Blood-related;Platelet;Plasma;Thrombosis</t>
  </si>
  <si>
    <t>Human genome-wide association and mouse knockout approaches identify platelet supervillin as an inhibitor of thrombus formation under shear stress.</t>
  </si>
  <si>
    <t>125 EA individuals and 116 African-American individuals</t>
  </si>
  <si>
    <t>Illumina [1,070,000]</t>
  </si>
  <si>
    <t>Ayele</t>
  </si>
  <si>
    <t>Podoconiosis</t>
  </si>
  <si>
    <t>Inflammation;Immune-related;Environment</t>
  </si>
  <si>
    <t>HLA class II locus and susceptibility to podoconiosis.</t>
  </si>
  <si>
    <t>194 African ancestry cases, 203 African ancestry controls</t>
  </si>
  <si>
    <t>202 African ancestry family trios</t>
  </si>
  <si>
    <t>Illumina [551,840]</t>
  </si>
  <si>
    <t>Genome-wide association study identifies eight new risk loci for polycystic ovary syndrome.</t>
  </si>
  <si>
    <t>2,254 Han Chinese ancestry cases, 3,001 Han Chinese ancestry controls</t>
  </si>
  <si>
    <t>8,226 Han Chinese ancestry cases, 7,578 Han Chinese ancestry controls</t>
  </si>
  <si>
    <t>Polycystic ovary syndrome through obesity-related condition</t>
  </si>
  <si>
    <t>Reproductive;Gender;Female;Hormonal;Weight;Body mass index;CVD risk factor (CVD RF)</t>
  </si>
  <si>
    <t>Genome-wide association study identifies GYS2 as a novel genetic factor for polycystic ovary syndrome through obesity-related condition.</t>
  </si>
  <si>
    <t>774 Korean ancestry cases, 967 Korean ancestry controls</t>
  </si>
  <si>
    <t>482 Korean ancestry children, 468 Korean ancestry pregnant females, 1,242 Korean ancestry female controls</t>
  </si>
  <si>
    <t>Illumina [~3,091,653] (imputed)</t>
  </si>
  <si>
    <t>Post-traumatic stress disorder (PTSD)</t>
  </si>
  <si>
    <t>Genome-wide association study identifies new susceptibility loci for posttraumatic stress disorder.</t>
  </si>
  <si>
    <t>300 European ancestry cases, Up to 1,538 European ancestry controls, 444 African American cases, Up to 2,936 African American controls</t>
  </si>
  <si>
    <t>207 European ancestry cases, Up to 1,692 European ancestry controls, 89 African American cases, Up to 655 African American controls</t>
  </si>
  <si>
    <t>Illumina [Up to 871,502]</t>
  </si>
  <si>
    <t>A genome-wide association study of post-traumatic stress disorder identifies the retinoid-related orphan receptor alpha (RORA) gene as a significant risk locus.</t>
  </si>
  <si>
    <t>295 European ancestry cases, 196 European ancestry controls</t>
  </si>
  <si>
    <t>143 African American cases, 462 African American controls</t>
  </si>
  <si>
    <t>Illumina [1,199,491]</t>
  </si>
  <si>
    <t>Pre-eclampsia</t>
  </si>
  <si>
    <t>Reproductive;Gender;Female;Pregnancy-related;Blood pressure;CVD risk factor (CVD RF)</t>
  </si>
  <si>
    <t>BMC Pregnancy Childbirth</t>
  </si>
  <si>
    <t>Genome-wide association study identifies a maternal copy-number deletion in PSG11 enriched among preeclampsia patients</t>
  </si>
  <si>
    <t>293 Caucasian females</t>
  </si>
  <si>
    <t>Affymetrix [705,969]</t>
  </si>
  <si>
    <t>Genome-wide association scan identifies a risk locus for preeclampsia on 2q14, near the inhibin, beta B gene.</t>
  </si>
  <si>
    <t>538 European ancestry cases, 540 European ancestry  controls</t>
  </si>
  <si>
    <t>1,894 European ancestry cases, 3,022 European ancestry controls</t>
  </si>
  <si>
    <t>Illumina [648,175]</t>
  </si>
  <si>
    <t>Genome-Wide Association Study of Pre-Eclampsia Detects Novel Maternal Single Nucleotide Polymorphisms and Copy-Number Variants in Subsets of the Hyperglycemia and Adverse Pregnancy Outcome (HAPO) Study Cohort.</t>
  </si>
  <si>
    <t>21 Afro-Caribbean ancestry cases, 1,010 Afro-Caribbean ancestry controls, 50 European ancestry cases, 1,202 European ancestry controls, 62 Hispanic cases, 658 Hispanic controls</t>
  </si>
  <si>
    <t>Illumina [2,485,249] (imputed)</t>
  </si>
  <si>
    <t>Pyun</t>
  </si>
  <si>
    <t>Premature ovarian failure</t>
  </si>
  <si>
    <t>Maturitas</t>
  </si>
  <si>
    <t>LAMC1 gene is associated with premature ovarian failure.</t>
  </si>
  <si>
    <t>24 cases, 24 controls</t>
  </si>
  <si>
    <t>98 cases, 218 controls</t>
  </si>
  <si>
    <t>Preoperative chemoradiation therapy response in rectal cancer</t>
  </si>
  <si>
    <t>Cancer;Colorectal cancer;Rectal cancer;Surgery;Drug response;Radiation;Adverse drug reaction (ADR)</t>
  </si>
  <si>
    <t>Novel single-nucleotide polymorphism markers predictive of pathologic response to preoperative chemoradiation therapy in rectal cancer patients.</t>
  </si>
  <si>
    <t>43 individuals with advanced rectal cancer</t>
  </si>
  <si>
    <t>70 individuals with advanced rectal cancer</t>
  </si>
  <si>
    <t>Affymetrix [691,162]</t>
  </si>
  <si>
    <t>Juran</t>
  </si>
  <si>
    <t>Immunochip analyses identify a novel risk locus for primary biliary cirrhosis at  13q14, multiple independent associations at four established risk loci and epistasis between 1p31 and 7q32 risk variants.</t>
  </si>
  <si>
    <t>2216 cases and 5594 controls</t>
  </si>
  <si>
    <t>Illumina [196,524]</t>
  </si>
  <si>
    <t>Nakamura</t>
  </si>
  <si>
    <t>Genome-wide association study identifies TNFSF15 and POU2AF1 as susceptibility loci for primary biliary cirrhosis in the Japanese population.</t>
  </si>
  <si>
    <t>487 Japanese ancestry cases, 476 Japanese ancestry controls</t>
  </si>
  <si>
    <t>787 Japanese ancestry cases, 615 Japanese ancestry controls</t>
  </si>
  <si>
    <t>Affymetrix [421,245]</t>
  </si>
  <si>
    <t>Dense fine-mapping study identifies new susceptibility loci for primary biliary cirrhosis.</t>
  </si>
  <si>
    <t>2861 cases and 8514 controls</t>
  </si>
  <si>
    <t>Illumina &amp; imputed [237,579]</t>
  </si>
  <si>
    <t>Kirin</t>
  </si>
  <si>
    <t>Primary rhegmatogenous retinal detachment</t>
  </si>
  <si>
    <t>Genome-wide association study identifies genetic risk underlying primary rhegmatogenous retinal detachment.</t>
  </si>
  <si>
    <t>867 European ancestry cases, 1,953 European ancestry controls</t>
  </si>
  <si>
    <t>1,966 European ancestry cases, 5,918 European ancestry controls</t>
  </si>
  <si>
    <t>Illumina [299,737]</t>
  </si>
  <si>
    <t>Folseraas</t>
  </si>
  <si>
    <t>Extended analysis of a genome-wide association study in primary sclerosing cholangitis detects multiple novel risk loci.</t>
  </si>
  <si>
    <t>715 cases and 2962 controls</t>
  </si>
  <si>
    <t>1221 cases and 3508 controls</t>
  </si>
  <si>
    <t>Affymetrix &amp; imputed [2,466,182]</t>
  </si>
  <si>
    <t>Dense genotyping of immune-related disease regions identifies nine new risk loci for primary sclerosing cholangitis.</t>
  </si>
  <si>
    <t>3789 EA cases, 25079 EA controls</t>
  </si>
  <si>
    <t>Illumina [130,422]</t>
  </si>
  <si>
    <t>Elinghaus</t>
  </si>
  <si>
    <t>Primary sclerosing cholangitis and ulcerative colitis</t>
  </si>
  <si>
    <t>Gastrointestinal;Inflammation;Ulcerative colitis;Hepatic</t>
  </si>
  <si>
    <t>Genome-wide association analysis in primary sclerosing cholangitis and ulcerative colitis identifies risk loci at GPR35 and TCF4.</t>
  </si>
  <si>
    <t>Up to 389 European ancestry primary sclerosing cholangitis cases, 987 European ancestry ulcerative colitis cases, 2,968 European ancestry controls</t>
  </si>
  <si>
    <t>1,012 European ancestry primary sclerosing cholangitis cases, 4,444 European ancestry ulcerative colitis cases, 11,659 European ancestry controls</t>
  </si>
  <si>
    <t>Affymetrix [Up to 1,279,891] (imputed)</t>
  </si>
  <si>
    <t>Fatemifar</t>
  </si>
  <si>
    <t>Primary tooth eruption</t>
  </si>
  <si>
    <t>Genome-wide association study of primary tooth eruption identifies pleiotropic loci associated with height and craniofacial distances.</t>
  </si>
  <si>
    <t>11,513 European ancestry individuals</t>
  </si>
  <si>
    <t>Illumina [2,446,724] (imputed)</t>
  </si>
  <si>
    <t>Machiela</t>
  </si>
  <si>
    <t>Prostate</t>
  </si>
  <si>
    <t>One thousand genomes imputation in the National Cancer Institute Breast and Prostate Cancer Cohort Consortium aggressive prostate cancer genome-wide association study.</t>
  </si>
  <si>
    <t>2782 men cases and 4458 men controls</t>
  </si>
  <si>
    <t>Illumina &amp; imputed [5.8 million]</t>
  </si>
  <si>
    <t>Amin Al Olama</t>
  </si>
  <si>
    <t>A meta-analysis of genome-wide association studies to identify prostate cancer susceptibility loci associated with aggressive and non-aggressive disease.</t>
  </si>
  <si>
    <t>5,132 European ancestry non-aggressive cases, 5,953 European ancestry aggressive cases, 11,463 European ancestry controls</t>
  </si>
  <si>
    <t>22,387 European ancestry non-aggressive cases, 2,008 European ancestry aggressive cases, Up to 24,726 European ancestry controls</t>
  </si>
  <si>
    <t>Illumina [~2.6 million] (imputed)</t>
  </si>
  <si>
    <t>Tao</t>
  </si>
  <si>
    <t>Genome-wide two-locus epistasis scans in prostate cancer using two European populations.</t>
  </si>
  <si>
    <t>1,176 PCa cases and 1,101 controls</t>
  </si>
  <si>
    <t>1,964 PCa cases and 3,172 controls</t>
  </si>
  <si>
    <t>Illumina [509,916] (imputed)</t>
  </si>
  <si>
    <t>Identification of 23 new prostate cancer susceptibility loci using the iCOGS custom genotyping array.</t>
  </si>
  <si>
    <t>11,085 European ancestry cases, 11,463 European ancestry controls</t>
  </si>
  <si>
    <t>19,662 European ancestry cases, 19,715 European ancestry controls</t>
  </si>
  <si>
    <t>Genome-wide association study in Chinese men identifies two new prostate cancer risk loci at 9q31.2 and 19q13.4.</t>
  </si>
  <si>
    <t>1,417 Han Chinese ancestry cases, 1,008 Han Chinese ancestry controls</t>
  </si>
  <si>
    <t>3,067 Han Chinese ancestry cases, 7,926 Han Chinese ancestry controls</t>
  </si>
  <si>
    <t>Illumina [587,294]</t>
  </si>
  <si>
    <t>Evaluating genetic risk for prostate cancer among Japanese and Latinos.</t>
  </si>
  <si>
    <t>1,033 Japanese ancestry cases, 1,042 Japanese ancestry controls, 1,043 Latino cases, 1,057 Latino controls</t>
  </si>
  <si>
    <t>1,583 Japanese ancestry cases, 3,386 Japanese ancestry  controls, 1,854 European ancestry cases, 3,748 European ancestry controls</t>
  </si>
  <si>
    <t>Illumina [528,023]</t>
  </si>
  <si>
    <t>Shan</t>
  </si>
  <si>
    <t>J Transl Med</t>
  </si>
  <si>
    <t>Genome scan study of prostate cancer in Arabs: identification of three genomic regions with multiple prostate cancer susceptibility loci in Tunisians.</t>
  </si>
  <si>
    <t>90 Tunisian ancestry cases, 131 Tunisian ancestry controls</t>
  </si>
  <si>
    <t>155 Arab ancestry cases, 182 Arab ancestry controls</t>
  </si>
  <si>
    <t>Affymetrix [534,781]</t>
  </si>
  <si>
    <t>Prostate cancer gene 3 (PCA3) mRNA levels</t>
  </si>
  <si>
    <t>Quantitative trait(s);Urinary;Cancer-related</t>
  </si>
  <si>
    <t>Neoplasia</t>
  </si>
  <si>
    <t>Genome-wide association study identifies genetic determinants of urine PCA3 levels in men.</t>
  </si>
  <si>
    <t xml:space="preserve">1,371 European ancestry individuals </t>
  </si>
  <si>
    <t>Illumina [3,076,666] imputed</t>
  </si>
  <si>
    <t>Prostate-specific antigen</t>
  </si>
  <si>
    <t>Genome-wide association study identified novel genetic variant on SLC45A3 gene associated with serum levels prostate-specific antigen (PSA) in a Chinese population.</t>
  </si>
  <si>
    <t>Illumina [&gt;709,211] (imputed)</t>
  </si>
  <si>
    <t>Prostate-specific antigen (free-to-total, %fPSA), in serum</t>
  </si>
  <si>
    <t>Genome-wide association study identifies loci at ATF7IP and KLK2 associated with percentage of circulating free PSA.</t>
  </si>
  <si>
    <t>3,192 European ancestry individuals</t>
  </si>
  <si>
    <t>1,722 European ancestry individuals</t>
  </si>
  <si>
    <t>Illumina [642,584]</t>
  </si>
  <si>
    <t>Garge</t>
  </si>
  <si>
    <t>Protein expression in blood cell lines</t>
  </si>
  <si>
    <t>Quantitative trait(s);Gene expression (protein);Protein expression;Blood-related;Cell line</t>
  </si>
  <si>
    <t>Mol Cell Proteomics</t>
  </si>
  <si>
    <t>Identification of quantitative trait loci underlying proteome variation in human  lymphoblastoid cells.</t>
  </si>
  <si>
    <t>24 CEPH/CEU lymphoblastoid cell lines</t>
  </si>
  <si>
    <t>HapMap [3.8 million]</t>
  </si>
  <si>
    <t>Johnansson</t>
  </si>
  <si>
    <t>Protein expression in blood plasma</t>
  </si>
  <si>
    <t>Quantitative trait(s);Gene expression (protein);Protein expression;Blood-related;Plasma</t>
  </si>
  <si>
    <t>Identification of genetic variants influencing the human plasma proteome.</t>
  </si>
  <si>
    <t>719 Swedish individuals</t>
  </si>
  <si>
    <t>350 Swedish individuals</t>
  </si>
  <si>
    <t>Illumina &amp; imputed [7.83 million]</t>
  </si>
  <si>
    <t>Lourdusamy</t>
  </si>
  <si>
    <t>Identification of cis-regulatory variation influencing protein abundance levels in human plasma.</t>
  </si>
  <si>
    <t>96 individuals</t>
  </si>
  <si>
    <t>Illumina &amp; imputed [776,864]</t>
  </si>
  <si>
    <t>Tsoi</t>
  </si>
  <si>
    <t>Identification of 15 new psoriasis susceptibility loci highlights the role of innate immunity.</t>
  </si>
  <si>
    <t>10588 EA cases and 22806 EA controls</t>
  </si>
  <si>
    <t>Illumina &amp; imputed [111,236]</t>
  </si>
  <si>
    <t>Smoller</t>
  </si>
  <si>
    <t>Psychiatric disorders (Autism, ADHD, Bipolar disorder, Schizophrenia, Depression)</t>
  </si>
  <si>
    <t>Neuro;Behavioral;Depression;Bipolar disorder;Schizophrenia;Autism;Attention-deficit/hyperactivity disorder (ADHD)</t>
  </si>
  <si>
    <t>Identification of risk loci with shared effects on five major psychiatric disorders: a genome-wide analysis.</t>
  </si>
  <si>
    <t>6,990 European ancestry Bipolar disorder cases, 9,227 European ancestry Major depressive disorder cases, 9,379 European ancestry Schizophrenia cases, 161 European ancestry Autism spectrum disorder cases, 4,788 European ancestry Autism spectrum disorder trio cases, 840 European ancestry Attention deficit-hyperactivity disorder cases, 1,947 European ancestry Attention defcit-hyperactivity disorder trio cases, 27,888 European ancestry controls</t>
  </si>
  <si>
    <t>Pulmonary arterial hypertension</t>
  </si>
  <si>
    <t>Pulmonary;Quantitative trait(s);Blood pressure;CVD risk factor (CVD RF);Arterial</t>
  </si>
  <si>
    <t>Genome-wide association analysis identifies a susceptibility locus for pulmonary arterial hypertension.</t>
  </si>
  <si>
    <t>340 European ancestry cases, 1,068 European ancestry controls</t>
  </si>
  <si>
    <t>285 cases, 457 controls</t>
  </si>
  <si>
    <t xml:space="preserve">Illumina [462,499] </t>
  </si>
  <si>
    <t>Fingerlin</t>
  </si>
  <si>
    <t>Pulmonary fibrosis (fibrotic idiopathic interstitial pneumonias)</t>
  </si>
  <si>
    <t>Pulmonary;Infection;Chronic lung disease</t>
  </si>
  <si>
    <t>Genome-wide association study identifies multiple susceptibility loci for pulmonary fibrosis.</t>
  </si>
  <si>
    <t>1,161 European ancestry cases, 4,683 European ancestry controls</t>
  </si>
  <si>
    <t>876 European ancestry cases, 1,890 European ancestry controls</t>
  </si>
  <si>
    <t>Illumina [439,828]</t>
  </si>
  <si>
    <t>Pulse pressure</t>
  </si>
  <si>
    <t>Hypertens Res</t>
  </si>
  <si>
    <t>Genome-wide linkage and association scans for pulse pressure in Chinese twins</t>
  </si>
  <si>
    <t>126 (63 pairs of dizygotic twins) Chinese individuals</t>
  </si>
  <si>
    <t>Affymetrix [~900,000]</t>
  </si>
  <si>
    <t>O'Brien</t>
  </si>
  <si>
    <t>Recipient kidney allograft function</t>
  </si>
  <si>
    <t>Renal;Treatment response;Surgery;Chronic kidney disease</t>
  </si>
  <si>
    <t>Clin Transplant</t>
  </si>
  <si>
    <t>A genome-wide association study of recipient genotype and medium-term kidney allograft function.</t>
  </si>
  <si>
    <t>263 European ancestry individuals</t>
  </si>
  <si>
    <t>Illumina [511,662]</t>
  </si>
  <si>
    <t>Stambolian</t>
  </si>
  <si>
    <t>Refractive errors</t>
  </si>
  <si>
    <t>Meta-analysis of genome-wide association studies in five cohorts reveals common variants in RBFOX1, a regulator of tissue-specific splicing, associated with refractive error.</t>
  </si>
  <si>
    <t>6,597 European ancestry individuals, 683 Sardinian inidividuals</t>
  </si>
  <si>
    <t>19,763 European ancestry individuals</t>
  </si>
  <si>
    <t>Illumina &amp; Affymetrix [2,093,862] (imputed)</t>
  </si>
  <si>
    <t>Henrion</t>
  </si>
  <si>
    <t>Renal cancer</t>
  </si>
  <si>
    <t>Common variation at 2q22.3 (ZEB2) influences the risk of renal cancer.</t>
  </si>
  <si>
    <t>2,215 European ancestry cases, 8,566 European ancestry controls</t>
  </si>
  <si>
    <t>3,739 European ancestry cases, 8,786 European ancestry controls</t>
  </si>
  <si>
    <t>Illumina [284,377]</t>
  </si>
  <si>
    <t>Response to antidepressants (citalopram-induced side effects)</t>
  </si>
  <si>
    <t>Drug response;Neuro;Depression;Adverse drug reaction (ADR)</t>
  </si>
  <si>
    <t>Genome-wide pharmacogenomic study of citalopram-induced side effects in STAR(*)D</t>
  </si>
  <si>
    <t>1,392 European ancestry samples, 264 African ancestry samples, 106 other/unknown</t>
  </si>
  <si>
    <t>Affymetrix [421,789]</t>
  </si>
  <si>
    <t>Response to antidepressants (selective serotonin reuptake inhibitors (SSRIs))</t>
  </si>
  <si>
    <t>Pharmacogenomics of selective serotonin reuptake inhibitor treatment for major depressive disorder: genome-wide associations and functional genomics.</t>
  </si>
  <si>
    <t>Up to 499 European ancestry cases</t>
  </si>
  <si>
    <t>1,207 European ancestry cases</t>
  </si>
  <si>
    <t>Illumina [532,877]</t>
  </si>
  <si>
    <t>Response to antidepressants (sustained antidepressant response)</t>
  </si>
  <si>
    <t>A genome-wide association study of a sustained pattern of antidepressant response.</t>
  </si>
  <si>
    <t>869 sustained response individuals, 247 unsustained response individuals</t>
  </si>
  <si>
    <t>394 sustained response individuals, 191 unsustained response individuals</t>
  </si>
  <si>
    <t xml:space="preserve">Affymetrix [430,198] </t>
  </si>
  <si>
    <t>Liou</t>
  </si>
  <si>
    <t>Response to antipsychotics in schizophrenia (treatment refractory)</t>
  </si>
  <si>
    <t>Genome-wide association study of treatment refractory schizophrenia in Han Chinese.</t>
  </si>
  <si>
    <t>522 Han Chinese ancestry cases, 806 Han Chinese ancestry controls</t>
  </si>
  <si>
    <t>273 Han Chinese ancestry cases</t>
  </si>
  <si>
    <t>Affymetrix [694,436]</t>
  </si>
  <si>
    <t>Genome-wide association study and gene expression analysis identifies CD84 as a predictor of response to etanercept therapy in rheumatoid arthritis.</t>
  </si>
  <si>
    <t>Up to 2,706 European ancestry cases</t>
  </si>
  <si>
    <t>Illumina and Affymetrix [~2 million] (imputed)</t>
  </si>
  <si>
    <t>Deshmukh</t>
  </si>
  <si>
    <t>Response to atorvastatin</t>
  </si>
  <si>
    <t>Genome-wide association study of genetic determinants of LDL-c response to atorvastatin therapy: Importance of Lp(a).</t>
  </si>
  <si>
    <t>2,702 European ancestry individuals</t>
  </si>
  <si>
    <t>2,550 European ancestry individuals</t>
  </si>
  <si>
    <t>Response to cholinesterase inhibitors in Alzheimer's disease</t>
  </si>
  <si>
    <t>Drug response;Neuro;Alzheimer's disease</t>
  </si>
  <si>
    <t>Pharmacogenomics in Alzheimer's disease: a genome-wide association study of response to cholinesterase inhibitors.</t>
  </si>
  <si>
    <t>92 European ancestry cases, 77 European ancestry controls</t>
  </si>
  <si>
    <t>94 European ancestry cases, 74 European ancestry controls</t>
  </si>
  <si>
    <t>Illumina [522,109]</t>
  </si>
  <si>
    <t>Frazier-Wood</t>
  </si>
  <si>
    <t>Response to fenofibrate</t>
  </si>
  <si>
    <t>Genome-wide association study indicates variants associated with insulin signaling and inflammation mediate lipoprotein responses to fenofibrate.</t>
  </si>
  <si>
    <t>817 European ancestry individuals</t>
  </si>
  <si>
    <t>Affymetrix [~2,543,887] (imputed)</t>
  </si>
  <si>
    <t>Response to fenofibrate treatment on inflammation biomarkers</t>
  </si>
  <si>
    <t>Drug response;Quantitative trait(s);CVD risk factor (CVD RF);Lipids;Inflammation;C-reactive protein (CRP);Blood-related</t>
  </si>
  <si>
    <t>A genome-wide association study of inflammatory biomarker changes in response to fenofibrate treatment in the Genetics of Lipid Lowering Drug and Diet Network.</t>
  </si>
  <si>
    <t>1,092 European ancestry individuals</t>
  </si>
  <si>
    <t>t Hart</t>
  </si>
  <si>
    <t>Response to glucose and GLP-1-infusion on insulin secretion</t>
  </si>
  <si>
    <t>Drug response;Quantitative trait(s);Type 2 diabetes (T2D);Blood-related</t>
  </si>
  <si>
    <t>The CTRB1/2 locus affects diabetes susceptibility and treatment via the incretin pathway.</t>
  </si>
  <si>
    <t>232 EA individuals</t>
  </si>
  <si>
    <t>Illumina [53,000]</t>
  </si>
  <si>
    <t>Go</t>
  </si>
  <si>
    <t>Response to glucose in plasma</t>
  </si>
  <si>
    <t>New susceptibility loci in MYL2, C12orf51 and OAS1 associated with 1-h plasma glucose as predisposing risk factors for type 2 diabetes in the Korean population.</t>
  </si>
  <si>
    <t>7,696 Korean ancestry individuals</t>
  </si>
  <si>
    <t>6,536 Korean ancestry individuals</t>
  </si>
  <si>
    <t xml:space="preserve">Affymetrix [357,789] </t>
  </si>
  <si>
    <t>Cummins</t>
  </si>
  <si>
    <t>Response to influenza vaccination</t>
  </si>
  <si>
    <t>Vaccine;Immune-related;Infection;Influenza</t>
  </si>
  <si>
    <t>Heme oxygenase-1 regulates the immune response to influenza virus infection and vaccination in aged mice.</t>
  </si>
  <si>
    <t>147 individuals</t>
  </si>
  <si>
    <t>Illumina [526,687]</t>
  </si>
  <si>
    <t>Hopewell</t>
  </si>
  <si>
    <t>Response to simvastatin</t>
  </si>
  <si>
    <t>Impact of common genetic variation on response to simvastatin therapy among 18 705 participants in the Heart Protection Study.</t>
  </si>
  <si>
    <t>3,895 European ancestry individuals</t>
  </si>
  <si>
    <t>14,810 individuals</t>
  </si>
  <si>
    <t>Illumina [546,210]</t>
  </si>
  <si>
    <t>Chasmin</t>
  </si>
  <si>
    <t>Response to statins</t>
  </si>
  <si>
    <t>Genetic Determinants of Statin Induced LDL-C Reduction: The JUPITER Trial.</t>
  </si>
  <si>
    <t>6,989 European ancestry individuals</t>
  </si>
  <si>
    <t>Illumina [814,418]</t>
  </si>
  <si>
    <t>Krintel</t>
  </si>
  <si>
    <t>Response to TNFα inhibitors in patients with rheumatoid arthritis</t>
  </si>
  <si>
    <t>Drug response;Rheumatoid arthritis;Arthritis;Inflammation</t>
  </si>
  <si>
    <t>Investigation of single nucleotide polymorphisms and biological pathways associated with response to TNF&amp;#x003b1; inhibitors in patients with rheumatoid arthritis.</t>
  </si>
  <si>
    <t>196 European ancestry cases</t>
  </si>
  <si>
    <t>Illumina [486,450]</t>
  </si>
  <si>
    <t>Umicevic Mirkov</t>
  </si>
  <si>
    <t>Genome-wide association analysis of anti-TNF drug response in patients with rheumatoid arthritis.</t>
  </si>
  <si>
    <t>882 European ancestry cases</t>
  </si>
  <si>
    <t>1,821 European ancestry cases</t>
  </si>
  <si>
    <t>Illumina [2,450,096] (imputed)</t>
  </si>
  <si>
    <t>Response to tocilizumab for the treatment of rheumatoid arthritis</t>
  </si>
  <si>
    <t>Genome-wide association analysis implicates the involvement of eight loci with response to tocilizumab for the treatment of rheumatoid arthritis.</t>
  </si>
  <si>
    <t>1,157 European and other ancestry rheumatoid arthritis cases</t>
  </si>
  <si>
    <t>526 European and other ancestry rheumatoid arthritis cases</t>
  </si>
  <si>
    <t>Illumina [534,053]</t>
  </si>
  <si>
    <t>Retinopathy (diabetic retinopathy)</t>
  </si>
  <si>
    <t>Candidate gene association study for diabetic retinopathy in persons with type 2  diabetes: the Candidate gene Association Resource (CARe).</t>
  </si>
  <si>
    <t>1254 EA, 823 African-Amer, 79 Asian-Amer, 231 Hispanic</t>
  </si>
  <si>
    <t>3772 EA Cases and 3015 EA Controls</t>
  </si>
  <si>
    <t>Sheu</t>
  </si>
  <si>
    <t>Genome-wide association study in a Chinese population with diabetic retinopathy.</t>
  </si>
  <si>
    <t>437 Chinese ancestry cases, 570 Chinese ancestry controls</t>
  </si>
  <si>
    <t>329  Hispanic cases, 256 Hispanic controls</t>
  </si>
  <si>
    <t>Illumina [~2,166,765] (imputed)</t>
  </si>
  <si>
    <t>Retinopathy (non-diabetic)</t>
  </si>
  <si>
    <t>Genome-wide association study of retinopathy in individuals without diabetes.</t>
  </si>
  <si>
    <t>19,411 European ancestry individuals</t>
  </si>
  <si>
    <t>Illumina [2,675,979] (imputed)</t>
  </si>
  <si>
    <t>Myouzen</t>
  </si>
  <si>
    <t>Functional variants in NFKBIE and RTKN2 involved in activation of the NF-&amp;#x003ba;B pathway are associated with rheumatoid arthritis in Japanese.</t>
  </si>
  <si>
    <t>2,303 Japanese ancestry cases, 3,380 Japanese ancestry controls</t>
  </si>
  <si>
    <t>5,604 Japanese ancestry cases, 31,982 Japanese ancestry controls</t>
  </si>
  <si>
    <t>Meta-analysis identifies nine new loci associated with rheumatoid arthritis in the Japanese population.</t>
  </si>
  <si>
    <t>4,074 Japanese ancestry cases, 16,891 Japanese ancestry controls</t>
  </si>
  <si>
    <t>5,277 Japanese ancestry cases, 21,684 Japanese ancestry controls</t>
  </si>
  <si>
    <t xml:space="preserve">Affymetrix &amp; Illumina [1,948,139] </t>
  </si>
  <si>
    <t>Eyre</t>
  </si>
  <si>
    <t>High-density genetic mapping identifies new susceptibility loci for rheumatoid arthritis.</t>
  </si>
  <si>
    <t>11475 EA cases and 15870 EA controls</t>
  </si>
  <si>
    <t>2363 cases and 17872 controls</t>
  </si>
  <si>
    <t>Illumina [129,464]</t>
  </si>
  <si>
    <t>Ko</t>
  </si>
  <si>
    <t>Salmonella induced pyroptosis in B-lymphoblastoid cell lines</t>
  </si>
  <si>
    <t>Infection;Cell line;Inflammation;Immune-related;Salmonella</t>
  </si>
  <si>
    <t>Functional genetic screen of human diversity reveals that a methionine salvage enzyme regulates inflammatory cell death.</t>
  </si>
  <si>
    <t>120 parent-offspring trios lymphoblastoid cell lines</t>
  </si>
  <si>
    <t>HapMap [1.9 million]</t>
  </si>
  <si>
    <t>Fischer</t>
  </si>
  <si>
    <t>A novel sarcoidosis risk locus for Europeans on chromosome 11q13.1.</t>
  </si>
  <si>
    <t>564 European ancestry cases, 1,575 European ancestry controls</t>
  </si>
  <si>
    <t>3,080 European ancestry cases, 3,659 European ancestry controls</t>
  </si>
  <si>
    <t>Affymetrix [1,294,967] (imputed)</t>
  </si>
  <si>
    <t>Genome-wide association analysis reveals 12q13.3-q14.1 as new risk locus for sarcoidosis.</t>
  </si>
  <si>
    <t>637 European ancestry cases, 1,233 European ancestry controls</t>
  </si>
  <si>
    <t>3,121 European ancestry cases, 4,284 European ancestry controls</t>
  </si>
  <si>
    <t>Affymetrix [677,619]</t>
  </si>
  <si>
    <t>Adrianto</t>
  </si>
  <si>
    <t>Genome-wide association study of African and European Americans implicates multiple shared and ethnic specific loci in sarcoidosis susceptibility.</t>
  </si>
  <si>
    <t>818 African-Amer cases and 1088 African-Amer controls</t>
  </si>
  <si>
    <t>455 African-Amer cases, 577 African-Amer controls; 442 EA cases, 2284 EA controls</t>
  </si>
  <si>
    <t>Illumina &amp; imputed [10,948,298]</t>
  </si>
  <si>
    <t>Sasang constitution</t>
  </si>
  <si>
    <t>J Altern Complement Med</t>
  </si>
  <si>
    <t>Pathways involved in sasang constitution from genome-wide analysis in a Korean population.</t>
  </si>
  <si>
    <t>1222 individuals</t>
  </si>
  <si>
    <t>Affymetrix [341,998]</t>
  </si>
  <si>
    <t>Genome-wide association analysis of Sasang constitution in the Korean population.</t>
  </si>
  <si>
    <t>1222 Korean individuals</t>
  </si>
  <si>
    <t>Front Hum Neurosci</t>
  </si>
  <si>
    <t>An ICA with reference approach in identification of genetic variation and associated brain networks.</t>
  </si>
  <si>
    <t>48 SZ cases, 40 controls (72 EA, 10 AA, 4 Asian, 2 mixed)</t>
  </si>
  <si>
    <t>Illumina [272,808]</t>
  </si>
  <si>
    <t>Betcheva</t>
  </si>
  <si>
    <t>Whole-genome-wide association study in the Bulgarian population reveals HHAT as schizophrenia susceptibility gene.</t>
  </si>
  <si>
    <t>188 European ancestry cases, 376 European ancestry controls</t>
  </si>
  <si>
    <t>99 European ancestry cases, 328 European ancestry controls</t>
  </si>
  <si>
    <t>Illumina [495,089]</t>
  </si>
  <si>
    <t>Bergen</t>
  </si>
  <si>
    <t>Genome-wide association study in a Swedish population yields support for greater CNV and MHC involvement in schizophrenia compared with bipolar disorder.</t>
  </si>
  <si>
    <t>836 European ancestry cases, 2,093 European ancestry controls</t>
  </si>
  <si>
    <t>Affymetrix [745,006]</t>
  </si>
  <si>
    <t>Borglum</t>
  </si>
  <si>
    <t>Genome-wide study of association and interaction with maternal cytomegalovirus infection suggests new schizophrenia loci.</t>
  </si>
  <si>
    <t>888 European ancestry cases, 882 European ancestry controls</t>
  </si>
  <si>
    <t>2539 European ancestry cases, 5486 European ancestry controls</t>
  </si>
  <si>
    <t>Illumina [541,148]</t>
  </si>
  <si>
    <t>Genome-wide association study implicates HLA-C*01:02 as a risk factor at the major histocompatibility complex locus in schizophrenia.</t>
  </si>
  <si>
    <t>1,606 European ancestry cases, 1,794 European ancestry controls</t>
  </si>
  <si>
    <t>13,195 European ancestry cases, 31,021 European ancestry controls</t>
  </si>
  <si>
    <t>Affymetrix [6,212,339]</t>
  </si>
  <si>
    <t>Levinson</t>
  </si>
  <si>
    <t>Genome-wide association study of multiplex schizophrenia pedigrees.</t>
  </si>
  <si>
    <t>1,218 European ancestry cases, 990 European ancestry controls, 139 Other ancestry cases, 114 Other ancestry controls</t>
  </si>
  <si>
    <t>Illumina [Up to 531,195]</t>
  </si>
  <si>
    <t>Schizophrenia and bipolar disorder</t>
  </si>
  <si>
    <t>Common variant at 16p11.2 conferring risk of psychosis.</t>
  </si>
  <si>
    <t>7,946 cases and 19,036 controls</t>
  </si>
  <si>
    <t>18,583 cases and 69,324 controls</t>
  </si>
  <si>
    <t>Andreassen</t>
  </si>
  <si>
    <t>Schizophrenia and bipolar disorder (joint pleiotropy)</t>
  </si>
  <si>
    <t>Improved detection of common variants associated with schizophrenia and bipolar disorder using pleiotropy-informed conditional false discovery rate.</t>
  </si>
  <si>
    <t>9379 cases, 7736 controls (SCZ); 6990 cases, 4820 controls (BD)</t>
  </si>
  <si>
    <t>Schizophrenia and brain fMRI during sensorimotor tasks</t>
  </si>
  <si>
    <t>Neuro;Imaging;Behavioral;Schizophrenia</t>
  </si>
  <si>
    <t>Multifaceted genomic risk for brain function in schizophrenia.</t>
  </si>
  <si>
    <t>92 cases and 116 controls</t>
  </si>
  <si>
    <t>Illumina [777,635]</t>
  </si>
  <si>
    <t>Fanous</t>
  </si>
  <si>
    <t>Schizophrenia symptoms (positive, negative/disorganized, mood)</t>
  </si>
  <si>
    <t>Genome-wide association study of clinical dimensions of schizophrenia: polygenic effect on disorganized symptoms.</t>
  </si>
  <si>
    <t>2,454 European ancestry cases</t>
  </si>
  <si>
    <t>Affymetrix [696,491]</t>
  </si>
  <si>
    <t>Schizophrenia with formal thought disorder (disorganized speech)</t>
  </si>
  <si>
    <t>PKNOX2 is associated with formal thought disorder in schizophrenia: a meta-analysis of two genome-wide association studies.</t>
  </si>
  <si>
    <t>835 European ancestry cases, 2,694 European ancestry controls</t>
  </si>
  <si>
    <t>Affymetrix [729,454]</t>
  </si>
  <si>
    <t>Schizophrenia with negative symptoms</t>
  </si>
  <si>
    <t>Neuro;Behavioral;Schizophrenia;Cognition</t>
  </si>
  <si>
    <t>BCL9 and C9orf5 are associated with negative symptoms in schizophrenia: meta-analysis of two genome-wide association studies.</t>
  </si>
  <si>
    <t>1,774 European ancestry cases, 2,726 European ancestry controls</t>
  </si>
  <si>
    <t>Lawrance-Owen</t>
  </si>
  <si>
    <t>Genetic association suggests that SMOC1 mediates between prenatal sex hormones and digit ratio.</t>
  </si>
  <si>
    <t>979 European ancestry individuals</t>
  </si>
  <si>
    <t>(see Medland, 2010)</t>
  </si>
  <si>
    <t>Illumina [642,758]</t>
  </si>
  <si>
    <t>Gong</t>
  </si>
  <si>
    <t>Selenium concentration, serum</t>
  </si>
  <si>
    <t>Nutrients</t>
  </si>
  <si>
    <t>Genome-wide association study of serum selenium concentrations.</t>
  </si>
  <si>
    <t>582 European ancestry individuals</t>
  </si>
  <si>
    <t>621 European ancestry individuals</t>
  </si>
  <si>
    <t>Illumina [2,474,333]</t>
  </si>
  <si>
    <t>van der Loos</t>
  </si>
  <si>
    <t>Self-employment</t>
  </si>
  <si>
    <t>The molecular genetic architecture of self-employment.</t>
  </si>
  <si>
    <t>7,734 European ancestry cases, 42,893 European ancestry controls</t>
  </si>
  <si>
    <t>737 cases, 2,534 controls</t>
  </si>
  <si>
    <t>Severity of response to H1N1 infection</t>
  </si>
  <si>
    <t>A functional variation in CD55 increases the severity of 2009 pandemic H1N1 influenza A virus infection.</t>
  </si>
  <si>
    <t>51 Chinese</t>
  </si>
  <si>
    <t>374 Chinese</t>
  </si>
  <si>
    <t>Coviello</t>
  </si>
  <si>
    <t>Sex hormone-binding globulin (SHBG) concentrations</t>
  </si>
  <si>
    <t>Quantitative trait(s);Blood-related;Hormonal;Gender;Male;Female</t>
  </si>
  <si>
    <t>A genome-wide association meta-analysis of circulating sex hormone-binding globulin reveals multiple Loci implicated in sex steroid hormone regulation.</t>
  </si>
  <si>
    <t>21,791 European ancestry individuals</t>
  </si>
  <si>
    <t>Affmyetrix &amp; Illumina [2,543,887] (imputed)</t>
  </si>
  <si>
    <t>Burri</t>
  </si>
  <si>
    <t>Sexual dysfunction (female)</t>
  </si>
  <si>
    <t>A genome-wide association study of female sexual dysfunction.</t>
  </si>
  <si>
    <t>1,104 European ancestry twins</t>
  </si>
  <si>
    <t>Illumina [2,287,762] (imputed)</t>
  </si>
  <si>
    <t>Milton</t>
  </si>
  <si>
    <t>Sickle cell anemia (haemolytic anemia)</t>
  </si>
  <si>
    <t>Genetic determinants of haemolysis in sickle cell anaemia.</t>
  </si>
  <si>
    <t>1,117 individuals</t>
  </si>
  <si>
    <t>213 African, West African and Afro-Caribbean ancestry individuals, 745 individuals</t>
  </si>
  <si>
    <t>Illumina [569,554]</t>
  </si>
  <si>
    <t>Sickle cell anemia total bilirubin and cholelithiasis risk</t>
  </si>
  <si>
    <t>Quantitative trait(s);Blood-related;Hepatic;Serum;Gastrointestinal;Gallstones;Stone;Sickle cell anemia;Anemia</t>
  </si>
  <si>
    <t>A genome-wide association study of total bilirubin and cholelithiasis risk in sickle cell anemia.</t>
  </si>
  <si>
    <t>905 African American cases</t>
  </si>
  <si>
    <t>2,152 African American cases</t>
  </si>
  <si>
    <t>Illumina [569,615]</t>
  </si>
  <si>
    <t>Desai</t>
  </si>
  <si>
    <t>Sickle cell anemia with elevated tricuspid regurgitation velocity</t>
  </si>
  <si>
    <t>Blood-related;Sickle cell anemia;Anemia;Heart;Valve;Gene expression (RNA);miRNA</t>
  </si>
  <si>
    <t>A novel molecular signature for elevated tricuspid regurgitation velocity in sickle cell disease.</t>
  </si>
  <si>
    <t>112 cases and 63 controls</t>
  </si>
  <si>
    <t>Iles</t>
  </si>
  <si>
    <t>A variant in FTO shows association with melanoma risk not due to BMI.</t>
  </si>
  <si>
    <t>1,353 European ancestry cases, 3,566 European ancestry controls</t>
  </si>
  <si>
    <t>12,313 European ancestry cases, Up to 55,667 European ancestry controls</t>
  </si>
  <si>
    <t>Illumina [2.6 million] (imputed)</t>
  </si>
  <si>
    <t>Skin naphthyl-keratin adduct levels in workers exposed to naphthalene</t>
  </si>
  <si>
    <t>Skin-related;Quantitative trait(s);Environment</t>
  </si>
  <si>
    <t>Environ Health Perspect</t>
  </si>
  <si>
    <t>Single Nucleotide Polymorphisms Associated with Skin Naphthyl-Keratin Adduct Levels in Workers Exposed to Naphthalene.</t>
  </si>
  <si>
    <t>100 European ancestry, Hispanic, Asian and African American individuals</t>
  </si>
  <si>
    <t>Affymetrix [184,153]</t>
  </si>
  <si>
    <t>Skin pigmentation and skin cancer</t>
  </si>
  <si>
    <t>Genome-wide association studies identify several new loci associated with pigmentation traits and skin cancer risk in European Americans.</t>
  </si>
  <si>
    <t>3,871 European ancestry individuals</t>
  </si>
  <si>
    <t>2,496 European ancestry individuals</t>
  </si>
  <si>
    <t>Illumina &amp; Affymetrix [2,469,762] (imputed)</t>
  </si>
  <si>
    <t>Patel</t>
  </si>
  <si>
    <t>Sleep apnea</t>
  </si>
  <si>
    <t>Association of genetic loci with sleep apnea in European Americans and African-Americans: the Candidate Gene Association Resource (CARe).</t>
  </si>
  <si>
    <t>2,904 EA and 647 African-American individuals</t>
  </si>
  <si>
    <t>1,795 EA individuals; 1,010 African-American cases/controls</t>
  </si>
  <si>
    <t>Illumina [45,237]</t>
  </si>
  <si>
    <t>Smallpox vaccine cytokine responses</t>
  </si>
  <si>
    <t>Genome-wide analysis of polymorphisms associated with cytokine responses in smallpox vaccine recipients.</t>
  </si>
  <si>
    <t>Up to 512 European ancestry individuals, Up to 199 African American individuals</t>
  </si>
  <si>
    <t>Soluble CD14</t>
  </si>
  <si>
    <t>Quantitative trait(s);Blood-related;Immune-related;Inflammation</t>
  </si>
  <si>
    <t>Soluble CD14: genomewide association analysis and relationship to cardiovascular  risk and mortality in older adults.</t>
  </si>
  <si>
    <t>2952 EA and 528 African-American</t>
  </si>
  <si>
    <t>Illumina &amp; imputed [2.2 million]</t>
  </si>
  <si>
    <t>Genome-wide association study identified UQCC locus for spine bone size in humans.</t>
  </si>
  <si>
    <t>2,503 European ancestry individuals, 1,627 Han Chinese individuals</t>
  </si>
  <si>
    <t>Affymetrix [746,709]</t>
  </si>
  <si>
    <t>Duggal</t>
  </si>
  <si>
    <t>Spontaneous resolution of hepatitis C virus</t>
  </si>
  <si>
    <t>Infection;Hepatitis;Hepatic</t>
  </si>
  <si>
    <t>Ann Intern Med</t>
  </si>
  <si>
    <t>Genome-wide association study of spontaneous resolution of hepatitis C virus infection: data from multiple cohorts.</t>
  </si>
  <si>
    <t>1,482 chronic HCV patients, 919 spontaneously cleared HCV patients</t>
  </si>
  <si>
    <t>461 chronic HCV patients, 284 spontaneously cleared HCV patients</t>
  </si>
  <si>
    <t>Illumina [792,721] (imputed)</t>
  </si>
  <si>
    <t>Kurose</t>
  </si>
  <si>
    <t>SSRI/SNRI-induced sexual dysfunction in depression</t>
  </si>
  <si>
    <t>Drug response;Neuro;Depression;Reproductive;Behavioral</t>
  </si>
  <si>
    <t>Genome-wide association study of SSRI/SNRI-induced sexual dysfunction in a Japanese cohort with major depression.</t>
  </si>
  <si>
    <t>201 Japanese ancestry individuals</t>
  </si>
  <si>
    <t>Affymetrix [186,320]</t>
  </si>
  <si>
    <t>Statin-Induced reductions in C-Reactive Protein</t>
  </si>
  <si>
    <t>Drug response;Quantitative trait(s);CVD risk factor (CVD RF);Lipids;C-reactive protein (CRP);Blood-related</t>
  </si>
  <si>
    <t>Pharmacogenetic determinants of statin-induced reductions in C-reactive protein.</t>
  </si>
  <si>
    <t>6766 European ancestry samples</t>
  </si>
  <si>
    <t>Illumina[6,800,000](imputed)</t>
  </si>
  <si>
    <t>Stressful life events</t>
  </si>
  <si>
    <t>Estimating the heritability of reporting stressful life events captured by common genetic variants.</t>
  </si>
  <si>
    <t>2,578 European ancestry depression cases and controls</t>
  </si>
  <si>
    <t>864 European ancestry depression cases, 257 European ancestry controls</t>
  </si>
  <si>
    <t>Illumina [541,628]</t>
  </si>
  <si>
    <t>Adib-Samii</t>
  </si>
  <si>
    <t>17q25 Locus is associated with white matter hyperintensity volume in ischemic stroke, but not with lacunar stroke status.</t>
  </si>
  <si>
    <t>2588 Ischemic Stroke Cases</t>
  </si>
  <si>
    <t>Flanagan</t>
  </si>
  <si>
    <t>Stroke in sickle cell anemia patients</t>
  </si>
  <si>
    <t>Cardiovascular disease (CVD);Neuro;Stroke;Blood-related;Sickle cell anemia;Anemia</t>
  </si>
  <si>
    <t>Genetic mapping and exome sequencing identify 2 mutations associated with stroke protection in pediatric patients with sickle cell anemia.</t>
  </si>
  <si>
    <t>177 cases and 335 controls</t>
  </si>
  <si>
    <t>Affymetrix [772,065]</t>
  </si>
  <si>
    <t>Traylor</t>
  </si>
  <si>
    <t>Genetic risk factors for ischaemic stroke and its subtypes (the METASTROKE collaboration): a meta-analysis of genome-wide association studies.</t>
  </si>
  <si>
    <t>12,389 European ancestry cases, 62,004 European ancestry controls</t>
  </si>
  <si>
    <t>1,322 Pakistani ancestry cases, 1,143 Pakistani ancestry controls, 12,025 European ancestry cases, 27,940 European ancestry controls</t>
  </si>
  <si>
    <t>Stroke, ischemic stroke and large artery atherosclerosis</t>
  </si>
  <si>
    <t>Cardiovascular disease (CVD);Neuro;Stroke;Arterial</t>
  </si>
  <si>
    <t>Common variants at 6p21.1 are associated with large artery atherosclerotic stroke.</t>
  </si>
  <si>
    <t>421 European ancestry large artery atherosclerosis cases, 741 European ancestry ischemic stroke cases, 1,244 European ancestry controls</t>
  </si>
  <si>
    <t>1,715 European ancestry large artery atherosclerosis cases, 9,552 European ancestry ischemic stroke cases, 52,695 European ancestry controls</t>
  </si>
  <si>
    <t>Illumina [551,514]</t>
  </si>
  <si>
    <t>Bellenquez</t>
  </si>
  <si>
    <t>Stroke, large vessel ischemic</t>
  </si>
  <si>
    <t>Genome-wide association study identifies a variant in HDAC9 associated with large vessel ischemic stroke.</t>
  </si>
  <si>
    <t>3,548 European ancestry cases, 5,972 European ancestry controls</t>
  </si>
  <si>
    <t>6,594 European ancestry cases, 34,864 European ancestry controls</t>
  </si>
  <si>
    <t>Illumina [495,851]</t>
  </si>
  <si>
    <t>Arning</t>
  </si>
  <si>
    <t>Stroke, pediatric</t>
  </si>
  <si>
    <t>Cardiovascular disease (CVD);Neuro;Stroke;Developmental</t>
  </si>
  <si>
    <t>A genome-wide association study identifies a gene network of ADAMTS genes in the predisposition to pediatric stroke.</t>
  </si>
  <si>
    <t>270 European ancestry trios</t>
  </si>
  <si>
    <t>Illumina [334,581]</t>
  </si>
  <si>
    <t>Hart</t>
  </si>
  <si>
    <t>Subjective response to d-amphetamine in healthy subjects</t>
  </si>
  <si>
    <t>Drug response;Neuro;Addiction;Narcotics</t>
  </si>
  <si>
    <t>Genome-wide association study of d-amphetamine response in healthy volunteers identifies putative associations, including cadherin 13 (CDH13).</t>
  </si>
  <si>
    <t>1 American Indian ancestry individual, 18 African American individuals, 10 Asian ancestry individuals, 325 European ancestry individuals, 17 Hispanic individuals, 6 other ancestry individuals, 4 individuals</t>
  </si>
  <si>
    <t>Affymetrix [5,476,100] (imputed)</t>
  </si>
  <si>
    <t>Huertas-Vazquez</t>
  </si>
  <si>
    <t>Novel loci associated with increased risk of sudden cardiac death in the context of coronary artery disease.</t>
  </si>
  <si>
    <t>948 cases, 3050 controls</t>
  </si>
  <si>
    <t>Illumina [119,117]</t>
  </si>
  <si>
    <t>A genome-wide association study identified AFF1 as a susceptibility locus for systemic lupus eyrthematosus in Japanese.</t>
  </si>
  <si>
    <t>891 Japanese ancestry cases, 3,384 Japanese ancestry controls</t>
  </si>
  <si>
    <t>1,387 Japanese ancestry cases, 28,564 Japanese ancestry controls</t>
  </si>
  <si>
    <t>Illumina [430,797]</t>
  </si>
  <si>
    <t>Meta-analysis followed by replication identifies loci in or near CDKN1B, TET3, CD80, DRAM1, and ARID5B as associated with systemic lupus erythematosus in Asians.</t>
  </si>
  <si>
    <t>1,656 Han Chinese ancestry cases, 3,394 Han Chinese ancestry controls</t>
  </si>
  <si>
    <t>3,256 Han Chinese ancestry cases, 5,667 Han Chinese ancestry controls, 453 Thai ancestry cases, 963 Thai ancestry controls</t>
  </si>
  <si>
    <t>Illumina [2,100,739] (imputed)</t>
  </si>
  <si>
    <t>Systemic lupus erythematosus, rheumatoid arthritis</t>
  </si>
  <si>
    <t>Inflammation;Systemic lupus erythematosus (SLE);Arthritis;Rheumatoid arthritis</t>
  </si>
  <si>
    <t>Mol Biol Rep</t>
  </si>
  <si>
    <t>Genome-wide pathway analysis of genome-wide association studies on systemic lupus erythematosus and rheumatoid arthritis.</t>
  </si>
  <si>
    <t xml:space="preserve">1,527 European ancestry cases, 3,421 European ancestry controls, </t>
  </si>
  <si>
    <t>Illumina [737,984]</t>
  </si>
  <si>
    <t>Weinhold</t>
  </si>
  <si>
    <t>t(11;14)(q13;q32) translocation in multiple myeloma</t>
  </si>
  <si>
    <t>The CCND1 c.870G&amp;gt;A polymorphism is a risk factor for t(11;14)(q13;q32) multiple myeloma.</t>
  </si>
  <si>
    <t>Up to 1,660 European ancestry cases, 7,306 European ancestry controls</t>
  </si>
  <si>
    <t>Illumina [414,804] (imputed)</t>
  </si>
  <si>
    <t>Weng</t>
  </si>
  <si>
    <t>Tamoxifen sensitivity and gene expression in blood cell lines</t>
  </si>
  <si>
    <t>Ann Oncol</t>
  </si>
  <si>
    <t>Genome-wide discovery of genetic variants affecting tamoxifen sensitivity and their clinical and functional validation.</t>
  </si>
  <si>
    <t>60 CEU lymphoclastoid cell lines</t>
  </si>
  <si>
    <t>245 EA breast cancer cases</t>
  </si>
  <si>
    <t>Tamsulosin hydrochloride pharmacokinetics in benign prostatic hyperplasia</t>
  </si>
  <si>
    <t>Drug response;Blood-related;Gender;Male;Reproductive</t>
  </si>
  <si>
    <t>Impact of four loci on serum tamsulosin hydrochloride concentration.</t>
  </si>
  <si>
    <t>182 Japanese ancestry individuals</t>
  </si>
  <si>
    <t>Illumina [481,678]</t>
  </si>
  <si>
    <t>Taxane response in lymphoblastoid cell lines and taxane-treated lung cancer survival</t>
  </si>
  <si>
    <t>Cancer-related;Drug response;Gene expression (RNA);Quantitative trait(s);Blood-related;Cell line;Lung cancer;Pulmonary;Mortality</t>
  </si>
  <si>
    <t>BMC Cancer</t>
  </si>
  <si>
    <t>Genetic association with overall survival of taxane-treated lung cancer patients - A genome-wide association study in human lymphoblastoid cell lines followed by a clinical association study.</t>
  </si>
  <si>
    <t>96 African American lymphoblastoid cell lines, 96 European ancestry lymphoblastoid cell lines, 96 Han Chinese ancestry lymphoblastoid cell lines</t>
  </si>
  <si>
    <t>Affymetrix &amp; Illumina [~1.3 million]</t>
  </si>
  <si>
    <t>Mangino</t>
  </si>
  <si>
    <t>Genome-wide meta-analysis points to CTC1 and ZNF676 as genes regulating telomere homeostasis in humans.</t>
  </si>
  <si>
    <t>9,190 European ancestry individuals</t>
  </si>
  <si>
    <t>2,226 individuals</t>
  </si>
  <si>
    <t>Telomere length (mean telomere length)</t>
  </si>
  <si>
    <t>Identification of seven loci affecting mean telomere length and their association with disease.</t>
  </si>
  <si>
    <t>37,684 European ancestry individuals</t>
  </si>
  <si>
    <t>10,739 European ancestry individuals</t>
  </si>
  <si>
    <t>Illumina &amp; Affymetrix [2,362,330]</t>
  </si>
  <si>
    <t>Temozolomide response in lymphoblastoid cell lines</t>
  </si>
  <si>
    <t>A genome-wide association analysis of temozolomide response using lymphoblastoid cell lines shows a clinically relevant association with MGMT.</t>
  </si>
  <si>
    <t>516 European ancestry lymphoblastoid cell lines</t>
  </si>
  <si>
    <t>Illumina [2,074,734] (imputed)</t>
  </si>
  <si>
    <t>Service</t>
  </si>
  <si>
    <t>Temperament</t>
  </si>
  <si>
    <t>A genome-wide meta-analysis of association studies of Cloninger's Temperament Scales.</t>
  </si>
  <si>
    <t>Up to 12,433 European ancestry individuals</t>
  </si>
  <si>
    <t>Affymetrix &amp; Illumina [1,252,222] (imputed)</t>
  </si>
  <si>
    <t>Temperament in bipolar disorder</t>
  </si>
  <si>
    <t>Genome-Wide Association Study of Temperament in Bipolar Disorder Reveals Significant Associations with Three Novel Loci.</t>
  </si>
  <si>
    <t>1,263 European ancestry cases and 1,434 European ancestry controls</t>
  </si>
  <si>
    <t>Testicular germ cell tumor</t>
  </si>
  <si>
    <t>Meta-analysis identifies four new loci associated with testicular germ cell tumor.</t>
  </si>
  <si>
    <t>582 European ancestry male cases, 1,056 European ancestry male controls</t>
  </si>
  <si>
    <t>3,560 European ancestry male cases, 8,510 European ancestry male controls</t>
  </si>
  <si>
    <t>Tetralogy of Fallot</t>
  </si>
  <si>
    <t>Congenital;Heart;Valve</t>
  </si>
  <si>
    <t>Genome-wide association study identifies loci on 12q24 and 13q32 associated with tetralogy of Fallot.</t>
  </si>
  <si>
    <t>835 European ancestry cases, 5,159 European ancestry controls</t>
  </si>
  <si>
    <t>798 European ancestry cases and 2,931 European ancestry controls</t>
  </si>
  <si>
    <t>Illumina [516,131]</t>
  </si>
  <si>
    <t>Rawal</t>
  </si>
  <si>
    <t>Thyroid function</t>
  </si>
  <si>
    <t>Meta-analysis of two genome-wide association studies identifies four genetic loci associated with thyroid function.</t>
  </si>
  <si>
    <t>3,736 European ancestry individuals</t>
  </si>
  <si>
    <t>3,727 European ancestry individuals</t>
  </si>
  <si>
    <t>Affymetrix &amp; Illumina [2,524,918] (imputed)</t>
  </si>
  <si>
    <t>Porcu</t>
  </si>
  <si>
    <t>A meta-analysis of thyroid-related traits reveals novel loci and gender-specific differences in the regulation of thyroid function.</t>
  </si>
  <si>
    <t>Up to 12,289 European ancestry females, Up to 9,019 European ancestry males, Up to 433 Old Order Amish females, Up to 592 Old Order Amish males, 2,170 Sardinian females, 1,917 Sardinian males</t>
  </si>
  <si>
    <t>Illumina, Affymetrix [~2.5 million] (imputed)</t>
  </si>
  <si>
    <t>Jongjaroenprasert</t>
  </si>
  <si>
    <t>Thyrotoxic hypokalemic periodic paralysis</t>
  </si>
  <si>
    <t>Thyroid;Muscle-related;Grave's disease;Gender;Male</t>
  </si>
  <si>
    <t>A genome-wide association study identifies novel susceptibility genetic variation for thyrotoxic hypokalemic periodic paralysis.</t>
  </si>
  <si>
    <t>78 Thai ancestry cases, 74 Thai ancestry controls</t>
  </si>
  <si>
    <t>28 Thai ancestry cases, 48 Thai ancestry controls</t>
  </si>
  <si>
    <t>Illumina [508,393]</t>
  </si>
  <si>
    <t>Thyrotoxic periodic paralysis</t>
  </si>
  <si>
    <t>Thyroid;Muscle-related;Grave's disease</t>
  </si>
  <si>
    <t>Genome-wide association study identifies a susceptibility locus for thyrotoxic periodic paralysis at 17q24.3.</t>
  </si>
  <si>
    <t xml:space="preserve">69 Chinese ancestry cases, 1,170 East Asian ancestry controls, </t>
  </si>
  <si>
    <t>54 Chinese ancestry cases, 400 Taiwanese ancestry controls</t>
  </si>
  <si>
    <t>Illumina [486,782]</t>
  </si>
  <si>
    <t>Medina-Gomez</t>
  </si>
  <si>
    <t>Total body bone mineral density</t>
  </si>
  <si>
    <t>Meta-analysis of genome-wide scans for total body BMD in children and adults reveals allelic heterogeneity and age-specific effects at the WNT16 locus.</t>
  </si>
  <si>
    <t xml:space="preserve">1,834 European ancestry children, 825 children </t>
  </si>
  <si>
    <t>11,052 European ancestry individuals</t>
  </si>
  <si>
    <t>Illumina [3,021,329] (imputed)</t>
  </si>
  <si>
    <t>Scharf</t>
  </si>
  <si>
    <t>Tourette's syndrome</t>
  </si>
  <si>
    <t>Genome-wide association study of Tourette's syndrome.</t>
  </si>
  <si>
    <t>778 European ancestry cases, 4,414 European ancestry controls, 242 Ashkenazi Jewish cases, 354 Ashkenazi Jewish controls, 265 French Canadian founder cases, 196 French Canadian founder controls</t>
  </si>
  <si>
    <t>211 Latin American ancestry cases, 285 Latin American ancestry controls</t>
  </si>
  <si>
    <t>Illumina [484,295]</t>
  </si>
  <si>
    <t>Toxicity after 5-fluorouracil or FOLFOX administration for colorectal cancer</t>
  </si>
  <si>
    <t>Drug response;Adverse drug reaction (ADR);Cancer;Colorectal cancer</t>
  </si>
  <si>
    <t>Pharmacogenomics in colorectal cancer: a genome-wide association study to predict toxicity after 5-fluorouracil or FOLFOX administration.</t>
  </si>
  <si>
    <t>203 European ancestry cases</t>
  </si>
  <si>
    <t>791 European ancestry cases</t>
  </si>
  <si>
    <t>Affymetrix [497,366]</t>
  </si>
  <si>
    <t>Trabecular and cortical volumetric BMD, bone microstructure</t>
  </si>
  <si>
    <t>Genetic determinants of trabecular and cortical volumetric bone mineral densities and bone microstructure.</t>
  </si>
  <si>
    <t>Up to 5,878 European ancestry individuals</t>
  </si>
  <si>
    <t>Up to 1,052 European ancestry individuals</t>
  </si>
  <si>
    <t>Illumina [2,401,124] (imputed)</t>
  </si>
  <si>
    <t>Transmission distortion</t>
  </si>
  <si>
    <t>Gender;Male;Female;Reproductive</t>
  </si>
  <si>
    <t>Genetics</t>
  </si>
  <si>
    <t>Evaluating the evidence for transmission distortion in human pedigrees.</t>
  </si>
  <si>
    <t>4728 offspring with both parents genotyped</t>
  </si>
  <si>
    <t>Man</t>
  </si>
  <si>
    <t>Treatment responses in severe sepsis</t>
  </si>
  <si>
    <t>Infection;Inflammation;Mortality;Blood-related</t>
  </si>
  <si>
    <t>Beyond single-marker analyses: mining whole genome scans for insights into treatment responses in severe sepsis.</t>
  </si>
  <si>
    <t>1,446 individuals</t>
  </si>
  <si>
    <t>Illumina [856,627]</t>
  </si>
  <si>
    <t>Abdel-Rahman</t>
  </si>
  <si>
    <t>Trichophyton tonsurans susceptibility</t>
  </si>
  <si>
    <t>Infection;Developmental;Skin-related</t>
  </si>
  <si>
    <t>J Dermatol Sci</t>
  </si>
  <si>
    <t>Genetic predictors of susceptibility to cutaneous fungal infections: a pilot genome wide association study to refine a candidate gene search.</t>
  </si>
  <si>
    <t>20 cases and 20 controls</t>
  </si>
  <si>
    <t>Follow up in 115 individuals</t>
  </si>
  <si>
    <t>Troponin levels (highly sensitive cardiac troponin-T levels), in plasma</t>
  </si>
  <si>
    <t>Association of genome-wide variation with highly sensitive cardiac troponin-T levels in European Americans and Blacks: a meta-analysis from atherosclerosis risk in communities and cardiovascular health studies.</t>
  </si>
  <si>
    <t>9,491 European ancestry individuals, Up to 2,053 African American individuals</t>
  </si>
  <si>
    <t>Affymetrix and Illumina [~2.5 million] (imputed)</t>
  </si>
  <si>
    <t>Common variants at 11p13 are associated with susceptibility to tuberculosis.</t>
  </si>
  <si>
    <t>1,329 Ghanaian cases, 1,847 Ghanaian controls</t>
  </si>
  <si>
    <t>817 Ghanaian cases, 3,805 Ghanaian controls, 1,207 Gambian cases, 1,349 Gambian controls, 1,025 Indonesian cases, 983 Indonesian controls, 4,441 Russian cases, 5,874 Russian controls</t>
  </si>
  <si>
    <t>Affymetrix [793,964]</t>
  </si>
  <si>
    <t>A genome wide association study of pulmonary tuberculosis susceptibility in Indonesians.</t>
  </si>
  <si>
    <t>108 Indonesian ancestry cases, 115 Indonesian ancestry controls</t>
  </si>
  <si>
    <t>600 Indonesian ancestry cases, 540 Indonesian ancestry controls, 1,837 European ancestry cases, 1,779 European ancestry controls</t>
  </si>
  <si>
    <t>Affymetrix [95,207]</t>
  </si>
  <si>
    <t>Mahasirimongkol</t>
  </si>
  <si>
    <t>Tuberculosis (early age of onset)</t>
  </si>
  <si>
    <t>Genome-wide association studies of tuberculosis in Asians identify distinct at-risk locus for young tuberculosis.</t>
  </si>
  <si>
    <t>433 Thai ancestry cases, 295 Thai ancestry controls, 188 Japanese ancestry cases, 934 Japanese ancestry controls</t>
  </si>
  <si>
    <t>369 Thai ancestry cases, 439 Thai ancestry controls, 112 Japanese ancestry cases, 1,089 Japanese ancestry controls</t>
  </si>
  <si>
    <t>Illumina [533,252]</t>
  </si>
  <si>
    <t>Sandholm</t>
  </si>
  <si>
    <t>New susceptibility loci associated with kidney disease in type 1 diabetes.</t>
  </si>
  <si>
    <t>Up to 2,916 European ancestry Type 1 Diabetes cases with nephropathy, 3,315 European ancestry Type 1 Diabetes cases without nephropathy</t>
  </si>
  <si>
    <t>Up to 1,493 European ancestry Type 1 Diabetes cases with nephropathy, 3,191 European ancestry Type 1 Diabetes cases without nephropathy</t>
  </si>
  <si>
    <t>Howson</t>
  </si>
  <si>
    <t>Type I Diabetes, serum ZnT8 autoantibody levels in</t>
  </si>
  <si>
    <t>Quantitative trait(s);Serum;Immune-related;Type 1 diabetes (T1D);Developmental;CVD risk factor (CVD RF)</t>
  </si>
  <si>
    <t>Genetic association of zinc transporter 8 (ZnT8) autoantibodies in type 1 diabetes cases.</t>
  </si>
  <si>
    <t>Up to 2,142 European ancestry cases</t>
  </si>
  <si>
    <t>855 European ancestry affected family members</t>
  </si>
  <si>
    <t>Illumina &amp; Affymetrix [775,249]</t>
  </si>
  <si>
    <t>Genome-wide association study in a Chinese population identifies a susceptibility locus for type 2 diabetes at 7q32 near PAX4.</t>
  </si>
  <si>
    <t>684 Han Chinese ancestry cases, 955 Han Chinese ancestry controls</t>
  </si>
  <si>
    <t>18,954 East Asian ancestry cases, 18,029 East Asian ancestry controls, 794 Singaporean Malay ancestry cases, 1,204 Singaporean Malay ancestry controls, 977 Singaporean Indian ancestry cases, 1,169 Singaporean Indian ancestry controls, 8,130 European ancestry cases, 38,987 European ancestry controls</t>
  </si>
  <si>
    <t>Illumina [2,925,090] (imputed)</t>
  </si>
  <si>
    <t>Stratifying type 2 diabetes cases by BMI identifies genetic risk variants in LAMA1 and enrichment for risk variants in lean compared to obese cases.</t>
  </si>
  <si>
    <t>2,112 lean type 2 diabetes cases, 4,123 obese type 2 diabetes cases, 54,412 controls</t>
  </si>
  <si>
    <t>2,881 lean type 2 diabetes cases, 8,702 obese type 2 diabetes cases, 18,957 controls</t>
  </si>
  <si>
    <t>Large-scale gene-centric meta-analysis across 39 studies identifies type 2 diabetes loci.</t>
  </si>
  <si>
    <t>14073 cases and 57489 controls</t>
  </si>
  <si>
    <t>8130 EA cases, 38987 EA controls;1986 African-Amer cases, 7695 African-Amer controls; 592 Hispanic cases, 1410 Hispanic controls; 767 Asian cases, 3704 Asian controls</t>
  </si>
  <si>
    <t>Tabassum</t>
  </si>
  <si>
    <t>Genome-wide association study for type 2 diabetes in Indians identifies a new susceptibility locus at 2q21.</t>
  </si>
  <si>
    <t>1,101 Indo-European ancestry cases, 1,027 Indo-European ancestry controls</t>
  </si>
  <si>
    <t>3,607 Indo-European ancestry cases, 2,924 Indo-European ancestry controls, 1,184 Dravidian ancestry cases, 1,061 Dravidian ancestry controls, 11,285 European ancestry cases, 11,285 European ancestry controls</t>
  </si>
  <si>
    <t>Illumina [536,420]</t>
  </si>
  <si>
    <t>Genome-wide association study identifies a novel locus contributing to type 2 diabetes susceptibility in Sikhs of Punjabi origin from India.</t>
  </si>
  <si>
    <t>842 Punjabi Sikh cases, 774 Punjabi Sikh controls</t>
  </si>
  <si>
    <t>Up to 2,512 Punjabi Sikh cases and 3,201 Punjabi Sikh controls; Up to 16,128 South Asian cases and 23,846 South Asian controls; Up to 16,746 East Asian ancestry cases and 16,961 East Asian ancestry controls; Up to 8,130 European ancestry cases and 38,987 European ancestry controls</t>
  </si>
  <si>
    <t>Illumina [1,232,008] (imputed)</t>
  </si>
  <si>
    <t>A genome-wide association search for type 2 diabetes genes in African Americans.</t>
  </si>
  <si>
    <t>965 African American ancestry cases, 1,029 African American ancestry controls</t>
  </si>
  <si>
    <t>2,167 African American ancestry cases, 2,288 African American ancestry controls</t>
  </si>
  <si>
    <t>Affymetrix [832,357]</t>
  </si>
  <si>
    <t>Imamura</t>
  </si>
  <si>
    <t>A single-nucleotide polymorphism in ANK1 is associated with susceptibility to type 2 diabetes in Japanese populations.</t>
  </si>
  <si>
    <t>4,470 Japanese ancestry cases, 3,071 Japanese ancestry controls</t>
  </si>
  <si>
    <t>7,605 Japanese ancestry cases, 3,534 Japanese ancestry controls</t>
  </si>
  <si>
    <t>Morris</t>
  </si>
  <si>
    <t>Large-scale association analysis provides insights into the genetic architecture  and pathophysiology of type 2 diabetes.</t>
  </si>
  <si>
    <t>12171 cases and 56862 controls</t>
  </si>
  <si>
    <t>21491 cases and 55647 controls</t>
  </si>
  <si>
    <t>A genome-wide association study identifies GRK5 and RASGRP1 as type 2 diabetes loci in Chinese Hans.</t>
  </si>
  <si>
    <t>1,839 Han Chinese ancestry cases, 1,873 Han Chinese ancestry controls</t>
  </si>
  <si>
    <t>15,979 East Asian ancestry cases, 19,360 East Asian ancestry controls, 794 Singaporean Malay ancestry cases, 1,240 Singaporean Malay ancestry controls, 159 South Asian ancestry cases, 1,624 South Asian ancestry controls</t>
  </si>
  <si>
    <t>Illumina [2,234,194] (imputed)</t>
  </si>
  <si>
    <t>Kwak</t>
  </si>
  <si>
    <t>Type II Diabetes Mellitus (gestational diabetes)</t>
  </si>
  <si>
    <t>Type 2 diabetes (T2D);CVD risk factor (CVD RF);Gender;Female;Pregnancy-related</t>
  </si>
  <si>
    <t>A genome-wide association study of gestational diabetes mellitus in Korean women.</t>
  </si>
  <si>
    <t>468 cases of Korean ancestry, 1,242 controls of Korean ancestry</t>
  </si>
  <si>
    <t>931 cases of Korean ancestry, 783 controls of Korean ancestry</t>
  </si>
  <si>
    <t>Affymetrix [2,188,613](imputed)</t>
  </si>
  <si>
    <t>Raynor</t>
  </si>
  <si>
    <t>Type II Diabetes Mellitus and prostate cancer</t>
  </si>
  <si>
    <t>Type 2 diabetes (T2D);CVD risk factor (CVD RF);Cancer;Prostate cancer;Gender;Male</t>
  </si>
  <si>
    <t>Pleiotropy and pathway analyses of genetic variants associated with both type 2 diabetes and prostate cancer.</t>
  </si>
  <si>
    <t>774 Diabetes EA cases and 3048 EA controls; 373 prostate cancer EA cases and 3449 EA controls</t>
  </si>
  <si>
    <t>Affymetrix &amp; imputed [2,438,031]</t>
  </si>
  <si>
    <t>Genome-wide association study of ulcerative colitis in Koreans suggests extensive overlapping of genetic susceptibility with Caucasians.</t>
  </si>
  <si>
    <t>388 Korean ancestry cases, 739 Korean ancestry controls</t>
  </si>
  <si>
    <t>810 Korean ancestry cases, 1709 Korean ancestry controls</t>
  </si>
  <si>
    <t xml:space="preserve">Illumina [581,060] </t>
  </si>
  <si>
    <t>Genome-wide association analyses identify 18 new loci associated with serum urate concentrations.</t>
  </si>
  <si>
    <t>2,115 European ancestry cases, 67,259 European ancestry controls</t>
  </si>
  <si>
    <t>1,036 European ancestry cases</t>
  </si>
  <si>
    <t>Affymetrix, Illumina [2,538,056] (imputed)</t>
  </si>
  <si>
    <t>Karns</t>
  </si>
  <si>
    <t>Genome-wide association of serum uric acid concentration: replication of sequence variants in an island population of the Adriatic coast of Croatia.</t>
  </si>
  <si>
    <t>1,300 European ancestry individuals</t>
  </si>
  <si>
    <t>Affymetrix [2,241,249] (imputed)</t>
  </si>
  <si>
    <t>Urinary symptoms following radiotherapy for prostate cancer</t>
  </si>
  <si>
    <t>Reproductive;Gender;Male;Prostate cancer;Radiation;Treatment response;Adverse drug reaction (ADR);Urinary</t>
  </si>
  <si>
    <t>A 2-stage genome-wide association study to identify single nucleotide polymorphisms associated with development of urinary symptoms after radiotherapy for prostate cancer.</t>
  </si>
  <si>
    <t>346 European, African, Hispanic and Asian ancestry individuals</t>
  </si>
  <si>
    <t>377 European, African, Hispanic and Asian ancestry individuals</t>
  </si>
  <si>
    <t>Affymetrix [613,496]</t>
  </si>
  <si>
    <t>Eggert</t>
  </si>
  <si>
    <t>Uterine leiomyomata</t>
  </si>
  <si>
    <t>Gender;Female;Reproductive;Cancer-related;Muscle-related;Anemia</t>
  </si>
  <si>
    <t>Genome-wide linkage and association analyses implicate FASN in predisposition to  Uterine Leiomyomata.</t>
  </si>
  <si>
    <t>Up to 1230 EA cases and 5097  EA controls</t>
  </si>
  <si>
    <t>Illumina [339,187]</t>
  </si>
  <si>
    <t>Thanassoulis</t>
  </si>
  <si>
    <t>Valvular calcification and aortic stenosis</t>
  </si>
  <si>
    <t>CVD risk factor (CVD RF);Cardiovascular disease (CVD);Arterial;Heart;Valve;Calcium;Subclinical CVD</t>
  </si>
  <si>
    <t>Genetic associations with valvular calcification and aortic stenosis.</t>
  </si>
  <si>
    <t>6,942 European ancestry individuals</t>
  </si>
  <si>
    <t>745 European ancestry individuals, 2,497 African American individuals, 2,027 Hispanic individuals, 774 Chinese ancestry individuals</t>
  </si>
  <si>
    <t>Affymetrix &amp; Illumina [&gt;2.5 million] (imputed)</t>
  </si>
  <si>
    <t>A genome-wide association study for venous thromboembolism: the extended cohorts for heart and aging research in genomic epidemiology (CHARGE) consortium.</t>
  </si>
  <si>
    <t>1,618 European ancestry cases, 42,881 European ancestry controls</t>
  </si>
  <si>
    <t>3,231 European ancestry cases, 3,536 European ancestry controls</t>
  </si>
  <si>
    <t>Illumina &amp; Affymetrix [2,543,885] (imputed)</t>
  </si>
  <si>
    <t>Heit</t>
  </si>
  <si>
    <t>J Thromb Haemost</t>
  </si>
  <si>
    <t>A genome-wide association study of venous thromboembolism identifies risk variants in chromosomes 1q24.2 and 9q.</t>
  </si>
  <si>
    <t>1,503 European and other ancestry cases, 1,459 European and other ancestry controls</t>
  </si>
  <si>
    <t>1,407 Other ancestry cases, 1,418 Other ancestry controls</t>
  </si>
  <si>
    <t>Caution in interpreting results from imputation analysis when linkage disequilibrium extends over a large distance: a case study on venous thrombosis.</t>
  </si>
  <si>
    <t>2050 French cases and 2467 French controls</t>
  </si>
  <si>
    <t>934 cases and 1393 controls</t>
  </si>
  <si>
    <t>Illumina &amp; imputed [11,572,501]</t>
  </si>
  <si>
    <t>Breitfeld</t>
  </si>
  <si>
    <t>Visceral adipose tissue-derived serine protease inhibitor (vaspin)</t>
  </si>
  <si>
    <t>Genetic variation in the vaspin gene affects circulating serum vaspin concentrations.</t>
  </si>
  <si>
    <t>826 European ancestry individuals</t>
  </si>
  <si>
    <t>1,806 European ancestry individuals</t>
  </si>
  <si>
    <t>Affymetrix [390,619]</t>
  </si>
  <si>
    <t>Fakiola &amp; Strange</t>
  </si>
  <si>
    <t>Visceral leishmaniasis</t>
  </si>
  <si>
    <t>Infection;Mortality;Hepatic;Blood-related</t>
  </si>
  <si>
    <t>Common variants in the HLA-DRB1-HLA-DQA1 HLA class II region are associated with susceptibility to visceral leishmaniasis.</t>
  </si>
  <si>
    <t>889 Indian ancestry cases, 977 Indian ancestry controls, 357 Brazilian ancestry cases, and 1,615 Brazilian ancestry unaffected relatives</t>
  </si>
  <si>
    <t>889 Indian ancestry cases, 948 Indian ancestry controls.</t>
  </si>
  <si>
    <t>Illumina [521,134]</t>
  </si>
  <si>
    <t>Visual cortical surface area</t>
  </si>
  <si>
    <t>Neuro;Imaging;Quantitative trait(s);Eye-related</t>
  </si>
  <si>
    <t>Association of common genetic variants in GPCPD1 with scaling of visual cortical surface area in humans.</t>
  </si>
  <si>
    <t>421 European ancestry individuals</t>
  </si>
  <si>
    <t>760 European ancestry individuals</t>
  </si>
  <si>
    <t>Affymetrix [597,198]</t>
  </si>
  <si>
    <t>Vitamin B12, in serum</t>
  </si>
  <si>
    <t>Genome-wide association study identifies novel loci associated with serum level of vitamin B12 in Chinese men.</t>
  </si>
  <si>
    <t>1,496 Chinese ancestry individuals</t>
  </si>
  <si>
    <t>Association analyses identify three susceptibility Loci for vitiligo in the Chinese Han population.</t>
  </si>
  <si>
    <t>1,117 Han Chinese ancestry cases, 1,701 Han Chinese ancestry controls</t>
  </si>
  <si>
    <t>5,740 Han Chinese ancestry cases, 10,324 Han Chinese ancestry controls</t>
  </si>
  <si>
    <t>Illumina [493,909]</t>
  </si>
  <si>
    <t>Genome-wide association analyses identify 13 new susceptibility loci for generalized vitiligo.</t>
  </si>
  <si>
    <t xml:space="preserve">418 European ancestry cases, 2,810 European ancestry controls        </t>
  </si>
  <si>
    <t>1,377 European ancestry cases, 1,284 European ancestry controls</t>
  </si>
  <si>
    <t>Illumina [495,821]</t>
  </si>
  <si>
    <t>VLDL, LDL and HDL cholesterol particle size</t>
  </si>
  <si>
    <t>CVD risk factor (CVD RF);Lipids;Quantitative trait(s)</t>
  </si>
  <si>
    <t>Genetic variants associated with VLDL, LDL and HDL particle size differ with race/ethnicity.</t>
  </si>
  <si>
    <t>2,430 European ancestry individuals, 1,594 African American individuals, 1,422 Hispanic individuals, 758 Chinese ancestry individuals</t>
  </si>
  <si>
    <t>Desch</t>
  </si>
  <si>
    <t>Linkage analysis identifies a locus for plasma von Willebrand factor undetected by genome-wide association.</t>
  </si>
  <si>
    <t>3,250 European ancestry individuals, Up to 212 individuals</t>
  </si>
  <si>
    <t>Illumina [723,716]</t>
  </si>
  <si>
    <t>Hatoum</t>
  </si>
  <si>
    <t>Weight loss after Roux-en-Y gastric bypass surgery</t>
  </si>
  <si>
    <t>Quantitative trait(s);Weight;Body mass index;CVD risk factor (CVD RF);Treatment response;Surgery</t>
  </si>
  <si>
    <t>Weight loss after gastric bypass is associated with a variant at 15q26.1.</t>
  </si>
  <si>
    <t>693 European ancestry individuals</t>
  </si>
  <si>
    <t>327 European ancestry individuals</t>
  </si>
  <si>
    <t>Illumina [1,943,170] (imputed)</t>
  </si>
  <si>
    <t>Genome-wide association of single-nucleotide polymorphisms with weight loss outcomes after Roux-en-Y gastric bypass surgery.</t>
  </si>
  <si>
    <t xml:space="preserve">86 European ancestry individuals with least EBWL, 89 European ancestry individuals with most EBWL </t>
  </si>
  <si>
    <t>164 European ancestry individuals with least EBWL, 169 European ancestry individuals with most EBWL</t>
  </si>
  <si>
    <t>Affymetrix [730,767]</t>
  </si>
  <si>
    <t>Wilms tumor</t>
  </si>
  <si>
    <t>Renal;Renal cancer;Developmental</t>
  </si>
  <si>
    <t>A genome-wide association study identifies susceptibility loci for Wilms tumor.</t>
  </si>
  <si>
    <t>757 European ancestry cases, 1,879 European ancestry controls</t>
  </si>
  <si>
    <t>1,488 European ancestry cases, 3,851 European ancestry controls</t>
  </si>
  <si>
    <t>Illumina [599,255]</t>
  </si>
  <si>
    <t>Posti</t>
  </si>
  <si>
    <t>α2-adrenoceptor-mediated vasoconstriction</t>
  </si>
  <si>
    <t>Drug response;Venous</t>
  </si>
  <si>
    <t>A polymorphism in the protein kinase C gene PRKCB is associated with &amp;#x003b1;2-adrenoceptor-mediated vasoconstriction.</t>
  </si>
  <si>
    <t>64 European ancestry individuals</t>
  </si>
  <si>
    <t>68 individuals</t>
  </si>
  <si>
    <t>Illumina [433,378]</t>
  </si>
  <si>
    <t>β(2) -GPI levels, in plasma</t>
  </si>
  <si>
    <t>Quantitative trait(s);Blood-related;Plasma;Bleeding disorder</t>
  </si>
  <si>
    <t>Genetic determinants of plasma &amp;#x003b2;&amp;#x02082;-glycoprotein I levels: a genome-wide association study in extended pedigrees from Spain.</t>
  </si>
  <si>
    <t>306 European ancestry individuals</t>
  </si>
  <si>
    <t>Immune-related;Infection;Influenza</t>
  </si>
  <si>
    <t>1210 European (Italian) individuals</t>
  </si>
  <si>
    <t>232 to 4068 mixed ancestry individuals</t>
  </si>
  <si>
    <t>2544 European ancestry women</t>
  </si>
  <si>
    <t>691 European and Asian individuals</t>
  </si>
  <si>
    <t>495 German cases and 1300 controls (children)</t>
  </si>
  <si>
    <t>Illumina [~500,000]</t>
  </si>
  <si>
    <t>1,851 Australian individuals</t>
  </si>
  <si>
    <t>155 Australian individuals</t>
  </si>
  <si>
    <t>Illumina [801,286]</t>
  </si>
  <si>
    <t>Illumina [~55,000]</t>
  </si>
  <si>
    <t>Illumina [~650,000]</t>
  </si>
  <si>
    <t>Affymetrix [455,089]</t>
  </si>
  <si>
    <t>Illumina [283,717]</t>
  </si>
  <si>
    <t>Illumina [up to 788,010]</t>
  </si>
  <si>
    <t>Illumina [~1 million]</t>
  </si>
  <si>
    <t>HapMap [~2 million]</t>
  </si>
  <si>
    <t>Illumina &amp; Affymetrix [~2 million] (imputed)</t>
  </si>
  <si>
    <t>Illumina [497,084] (imputed)</t>
  </si>
  <si>
    <t>Illumina [~600,000] (imputed)</t>
  </si>
  <si>
    <t>Affymetrix [~1,800,000]</t>
  </si>
  <si>
    <t>Illumina [~300,000]</t>
  </si>
  <si>
    <t>Illumina [286,966]</t>
  </si>
  <si>
    <t>2040 African-American individuals with sickle cell anemia</t>
  </si>
  <si>
    <t>Unspecified [585,563]</t>
  </si>
  <si>
    <t>Illumina, Affymetrix, &amp; HapMap [~2.4 million]</t>
  </si>
  <si>
    <t>997 women with breast cancer</t>
  </si>
  <si>
    <t>Affymetrix &amp; Illumina [557,456]</t>
  </si>
  <si>
    <t>Illumina &amp; imputed [~2 million]</t>
  </si>
  <si>
    <t>Illumina RNA-seq [33,122]</t>
  </si>
  <si>
    <t>Unspecified [NR]</t>
  </si>
  <si>
    <t>Affymetrix and Illumina [~2 million] (imputed)</t>
  </si>
  <si>
    <t>Illumina [~600,000]</t>
  </si>
  <si>
    <t>Affymetrix [656,852] (imputed)</t>
  </si>
  <si>
    <t>Unspecified [523,663]</t>
  </si>
  <si>
    <t>301 Chinese females</t>
  </si>
  <si>
    <t>Illumina [589,945]</t>
  </si>
  <si>
    <t>HapMap [~2.4 million]</t>
  </si>
  <si>
    <t>Ilumina [~1 million]</t>
  </si>
  <si>
    <t>Affymetrix [6,233,112] (imputed)</t>
  </si>
  <si>
    <t>Affymetrix [392,949]</t>
  </si>
  <si>
    <t>HapMap [&gt;2 million] (imputed)</t>
  </si>
  <si>
    <t>Perlegen [198,345]</t>
  </si>
  <si>
    <t>Affymetrix [~1 million] (imputed)</t>
  </si>
  <si>
    <t>Illumina [109,365]</t>
  </si>
  <si>
    <t>Illumina &amp; Affymetrix [1,252,901] (imputed)</t>
  </si>
  <si>
    <t>Perlegen &amp; Illumina [~2 million] (imputed)</t>
  </si>
  <si>
    <t>Illumina, Affymetrix, Centaurus &amp; imputed [1000 genomes, NR]</t>
  </si>
  <si>
    <t>Illumina &amp; Affymetrix [~2.4 million] imputed</t>
  </si>
  <si>
    <t>HapMap [387,417]</t>
  </si>
  <si>
    <t>Affymetrix &amp; Illumina [353,116-538,138]</t>
  </si>
  <si>
    <t>Illumina [2,229,890] (imputed)</t>
  </si>
  <si>
    <t>Illumina &amp; Affymetrix [2,443,161] (imputed)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</si>
</sst>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yyyy"/>
  </numFmts>
  <fonts count="36" x14ac:knownFonts="1">
    <font>
      <sz val="10"/>
      <color theme="1"/>
      <name val="Arial"/>
      <family val="2"/>
    </font>
    <font>
      <sz val="11"/>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color theme="1"/>
      <name val="Arial"/>
      <family val="2"/>
    </font>
    <font>
      <sz val="8"/>
      <name val="Arial"/>
      <family val="2"/>
    </font>
    <font>
      <b/>
      <sz val="8"/>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8"/>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1">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3" fillId="0" borderId="0"/>
    <xf numFmtId="0" fontId="2" fillId="0" borderId="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4" applyNumberFormat="0" applyAlignment="0" applyProtection="0"/>
    <xf numFmtId="0" fontId="27" fillId="6" borderId="5" applyNumberFormat="0" applyAlignment="0" applyProtection="0"/>
    <xf numFmtId="0" fontId="28" fillId="6" borderId="4" applyNumberFormat="0" applyAlignment="0" applyProtection="0"/>
    <xf numFmtId="0" fontId="29" fillId="0" borderId="6" applyNumberFormat="0" applyFill="0" applyAlignment="0" applyProtection="0"/>
    <xf numFmtId="0" fontId="30" fillId="7" borderId="7" applyNumberFormat="0" applyAlignment="0" applyProtection="0"/>
    <xf numFmtId="0" fontId="31" fillId="0" borderId="0" applyNumberFormat="0" applyFill="0" applyBorder="0" applyAlignment="0" applyProtection="0"/>
    <xf numFmtId="0" fontId="2" fillId="8"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 fillId="0" borderId="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25">
    <xf numFmtId="0" fontId="0" fillId="0" borderId="0" xfId="0"/>
    <xf numFmtId="0" fontId="21" fillId="0" borderId="0" xfId="0" applyFont="1" applyFill="1"/>
    <xf numFmtId="0" fontId="21" fillId="0" borderId="0" xfId="0" applyFont="1" applyFill="1" applyAlignment="1">
      <alignment horizontal="left"/>
    </xf>
    <xf numFmtId="0" fontId="22" fillId="0" borderId="0" xfId="0" applyFont="1" applyFill="1"/>
    <xf numFmtId="0" fontId="22" fillId="0" borderId="0" xfId="0" applyFont="1" applyFill="1" applyAlignment="1">
      <alignment horizontal="left"/>
    </xf>
    <xf numFmtId="14" fontId="21" fillId="0" borderId="0" xfId="0" applyNumberFormat="1" applyFont="1" applyFill="1"/>
    <xf numFmtId="3" fontId="21" fillId="0" borderId="0" xfId="0" applyNumberFormat="1" applyFont="1" applyFill="1" applyAlignment="1">
      <alignment horizontal="left"/>
    </xf>
    <xf numFmtId="3" fontId="21" fillId="0" borderId="0" xfId="0" applyNumberFormat="1" applyFont="1" applyFill="1"/>
    <xf numFmtId="17" fontId="21" fillId="0" borderId="0" xfId="0" applyNumberFormat="1" applyFont="1" applyFill="1"/>
    <xf numFmtId="0" fontId="21" fillId="0" borderId="0" xfId="0" applyFont="1" applyFill="1" applyAlignment="1"/>
    <xf numFmtId="0" fontId="21" fillId="0" borderId="0" xfId="0" applyFont="1" applyFill="1" applyBorder="1" applyAlignment="1"/>
    <xf numFmtId="0" fontId="21" fillId="0" borderId="0" xfId="42" applyFont="1" applyFill="1"/>
    <xf numFmtId="164" fontId="21" fillId="0" borderId="0" xfId="0" applyNumberFormat="1" applyFont="1" applyFill="1"/>
    <xf numFmtId="14" fontId="21" fillId="0" borderId="0" xfId="42" applyNumberFormat="1" applyFont="1" applyFill="1"/>
    <xf numFmtId="14" fontId="22" fillId="0" borderId="0" xfId="42" applyNumberFormat="1" applyFont="1" applyFill="1"/>
    <xf numFmtId="0" fontId="20" fillId="0" borderId="0" xfId="43" applyFont="1" applyFill="1"/>
    <xf numFmtId="0" fontId="21" fillId="0" borderId="0" xfId="80" applyFont="1" applyFill="1"/>
    <xf numFmtId="0" fontId="21" fillId="0" borderId="0" xfId="0" applyFont="1" applyFill="1" applyAlignment="1">
      <alignment horizontal="right"/>
    </xf>
    <xf numFmtId="0" fontId="20" fillId="0" borderId="0" xfId="0" applyFont="1" applyFill="1"/>
    <xf numFmtId="0" fontId="20" fillId="0" borderId="0" xfId="0" applyFont="1"/>
    <xf numFmtId="0" fontId="35" fillId="0" borderId="0" xfId="0" applyFont="1"/>
    <xf numFmtId="0" fontId="20" fillId="0" borderId="0" xfId="117" applyFont="1"/>
    <xf numFmtId="0" fontId="20" fillId="0" borderId="0" xfId="117" applyFont="1" applyFill="1"/>
    <xf numFmtId="0" fontId="35" fillId="0" borderId="0" xfId="0" applyFont="1" applyFill="1"/>
    <xf numFmtId="14" fontId="20" fillId="0" borderId="0" xfId="0" applyNumberFormat="1" applyFont="1" applyFill="1"/>
  </cellXfs>
  <cellStyles count="131">
    <cellStyle name="20% - Accent1" xfId="19" builtinId="30" customBuiltin="1"/>
    <cellStyle name="20% - Accent1 2" xfId="57"/>
    <cellStyle name="20% - Accent1 3" xfId="94"/>
    <cellStyle name="20% - Accent1 4" xfId="119"/>
    <cellStyle name="20% - Accent2" xfId="23" builtinId="34" customBuiltin="1"/>
    <cellStyle name="20% - Accent2 2" xfId="61"/>
    <cellStyle name="20% - Accent2 3" xfId="98"/>
    <cellStyle name="20% - Accent2 4" xfId="121"/>
    <cellStyle name="20% - Accent3" xfId="27" builtinId="38" customBuiltin="1"/>
    <cellStyle name="20% - Accent3 2" xfId="65"/>
    <cellStyle name="20% - Accent3 3" xfId="102"/>
    <cellStyle name="20% - Accent3 4" xfId="123"/>
    <cellStyle name="20% - Accent4" xfId="31" builtinId="42" customBuiltin="1"/>
    <cellStyle name="20% - Accent4 2" xfId="69"/>
    <cellStyle name="20% - Accent4 3" xfId="106"/>
    <cellStyle name="20% - Accent4 4" xfId="125"/>
    <cellStyle name="20% - Accent5" xfId="35" builtinId="46" customBuiltin="1"/>
    <cellStyle name="20% - Accent5 2" xfId="73"/>
    <cellStyle name="20% - Accent5 3" xfId="110"/>
    <cellStyle name="20% - Accent5 4" xfId="127"/>
    <cellStyle name="20% - Accent6" xfId="39" builtinId="50" customBuiltin="1"/>
    <cellStyle name="20% - Accent6 2" xfId="77"/>
    <cellStyle name="20% - Accent6 3" xfId="114"/>
    <cellStyle name="20% - Accent6 4" xfId="129"/>
    <cellStyle name="40% - Accent1" xfId="20" builtinId="31" customBuiltin="1"/>
    <cellStyle name="40% - Accent1 2" xfId="58"/>
    <cellStyle name="40% - Accent1 3" xfId="95"/>
    <cellStyle name="40% - Accent1 4" xfId="120"/>
    <cellStyle name="40% - Accent2" xfId="24" builtinId="35" customBuiltin="1"/>
    <cellStyle name="40% - Accent2 2" xfId="62"/>
    <cellStyle name="40% - Accent2 3" xfId="99"/>
    <cellStyle name="40% - Accent2 4" xfId="122"/>
    <cellStyle name="40% - Accent3" xfId="28" builtinId="39" customBuiltin="1"/>
    <cellStyle name="40% - Accent3 2" xfId="66"/>
    <cellStyle name="40% - Accent3 3" xfId="103"/>
    <cellStyle name="40% - Accent3 4" xfId="124"/>
    <cellStyle name="40% - Accent4" xfId="32" builtinId="43" customBuiltin="1"/>
    <cellStyle name="40% - Accent4 2" xfId="70"/>
    <cellStyle name="40% - Accent4 3" xfId="107"/>
    <cellStyle name="40% - Accent4 4" xfId="126"/>
    <cellStyle name="40% - Accent5" xfId="36" builtinId="47" customBuiltin="1"/>
    <cellStyle name="40% - Accent5 2" xfId="74"/>
    <cellStyle name="40% - Accent5 3" xfId="111"/>
    <cellStyle name="40% - Accent5 4" xfId="128"/>
    <cellStyle name="40% - Accent6" xfId="40" builtinId="51" customBuiltin="1"/>
    <cellStyle name="40% - Accent6 2" xfId="78"/>
    <cellStyle name="40% - Accent6 3" xfId="115"/>
    <cellStyle name="40% - Accent6 4" xfId="130"/>
    <cellStyle name="60% - Accent1" xfId="21" builtinId="32" customBuiltin="1"/>
    <cellStyle name="60% - Accent1 2" xfId="59"/>
    <cellStyle name="60% - Accent1 3" xfId="96"/>
    <cellStyle name="60% - Accent2" xfId="25" builtinId="36" customBuiltin="1"/>
    <cellStyle name="60% - Accent2 2" xfId="63"/>
    <cellStyle name="60% - Accent2 3" xfId="100"/>
    <cellStyle name="60% - Accent3" xfId="29" builtinId="40" customBuiltin="1"/>
    <cellStyle name="60% - Accent3 2" xfId="67"/>
    <cellStyle name="60% - Accent3 3" xfId="104"/>
    <cellStyle name="60% - Accent4" xfId="33" builtinId="44" customBuiltin="1"/>
    <cellStyle name="60% - Accent4 2" xfId="71"/>
    <cellStyle name="60% - Accent4 3" xfId="108"/>
    <cellStyle name="60% - Accent5" xfId="37" builtinId="48" customBuiltin="1"/>
    <cellStyle name="60% - Accent5 2" xfId="75"/>
    <cellStyle name="60% - Accent5 3" xfId="112"/>
    <cellStyle name="60% - Accent6" xfId="41" builtinId="52" customBuiltin="1"/>
    <cellStyle name="60% - Accent6 2" xfId="79"/>
    <cellStyle name="60% - Accent6 3" xfId="116"/>
    <cellStyle name="Accent1" xfId="18" builtinId="29" customBuiltin="1"/>
    <cellStyle name="Accent1 2" xfId="56"/>
    <cellStyle name="Accent1 3" xfId="93"/>
    <cellStyle name="Accent2" xfId="22" builtinId="33" customBuiltin="1"/>
    <cellStyle name="Accent2 2" xfId="60"/>
    <cellStyle name="Accent2 3" xfId="97"/>
    <cellStyle name="Accent3" xfId="26" builtinId="37" customBuiltin="1"/>
    <cellStyle name="Accent3 2" xfId="64"/>
    <cellStyle name="Accent3 3" xfId="101"/>
    <cellStyle name="Accent4" xfId="30" builtinId="41" customBuiltin="1"/>
    <cellStyle name="Accent4 2" xfId="68"/>
    <cellStyle name="Accent4 3" xfId="105"/>
    <cellStyle name="Accent5" xfId="34" builtinId="45" customBuiltin="1"/>
    <cellStyle name="Accent5 2" xfId="72"/>
    <cellStyle name="Accent5 3" xfId="109"/>
    <cellStyle name="Accent6" xfId="38" builtinId="49" customBuiltin="1"/>
    <cellStyle name="Accent6 2" xfId="76"/>
    <cellStyle name="Accent6 3" xfId="113"/>
    <cellStyle name="Bad" xfId="7" builtinId="27" customBuiltin="1"/>
    <cellStyle name="Bad 2" xfId="45"/>
    <cellStyle name="Bad 3" xfId="82"/>
    <cellStyle name="Calculation" xfId="11" builtinId="22" customBuiltin="1"/>
    <cellStyle name="Calculation 2" xfId="49"/>
    <cellStyle name="Calculation 3" xfId="86"/>
    <cellStyle name="Check Cell" xfId="13" builtinId="23" customBuiltin="1"/>
    <cellStyle name="Check Cell 2" xfId="51"/>
    <cellStyle name="Check Cell 3" xfId="88"/>
    <cellStyle name="Explanatory Text" xfId="16" builtinId="53" customBuiltin="1"/>
    <cellStyle name="Explanatory Text 2" xfId="54"/>
    <cellStyle name="Explanatory Text 3" xfId="91"/>
    <cellStyle name="Good" xfId="6" builtinId="26" customBuiltin="1"/>
    <cellStyle name="Good 2" xfId="44"/>
    <cellStyle name="Good 3" xfId="8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Input 2" xfId="47"/>
    <cellStyle name="Input 3" xfId="84"/>
    <cellStyle name="Linked Cell" xfId="12" builtinId="24" customBuiltin="1"/>
    <cellStyle name="Linked Cell 2" xfId="50"/>
    <cellStyle name="Linked Cell 3" xfId="87"/>
    <cellStyle name="Neutral" xfId="8" builtinId="28" customBuiltin="1"/>
    <cellStyle name="Neutral 2" xfId="46"/>
    <cellStyle name="Neutral 3" xfId="83"/>
    <cellStyle name="Normal" xfId="0" builtinId="0"/>
    <cellStyle name="Normal 2" xfId="42"/>
    <cellStyle name="Normal 3" xfId="43"/>
    <cellStyle name="Normal 4" xfId="80"/>
    <cellStyle name="Normal 5" xfId="117"/>
    <cellStyle name="Note" xfId="15" builtinId="10" customBuiltin="1"/>
    <cellStyle name="Note 2" xfId="53"/>
    <cellStyle name="Note 3" xfId="90"/>
    <cellStyle name="Note 4" xfId="118"/>
    <cellStyle name="Output" xfId="10" builtinId="21" customBuiltin="1"/>
    <cellStyle name="Output 2" xfId="48"/>
    <cellStyle name="Output 3" xfId="85"/>
    <cellStyle name="Title" xfId="1" builtinId="15" customBuiltin="1"/>
    <cellStyle name="Total" xfId="17" builtinId="25" customBuiltin="1"/>
    <cellStyle name="Total 2" xfId="55"/>
    <cellStyle name="Total 3" xfId="92"/>
    <cellStyle name="Warning Text" xfId="14" builtinId="11" customBuiltin="1"/>
    <cellStyle name="Warning Text 2" xfId="52"/>
    <cellStyle name="Warning Text 3" xfId="8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083"/>
  <sheetViews>
    <sheetView tabSelected="1" zoomScaleNormal="100" workbookViewId="0">
      <pane ySplit="1" topLeftCell="A2" activePane="bottomLeft" state="frozen"/>
      <selection pane="bottomLeft"/>
    </sheetView>
  </sheetViews>
  <sheetFormatPr defaultColWidth="9.109375" defaultRowHeight="10.199999999999999" x14ac:dyDescent="0.2"/>
  <cols>
    <col min="1" max="1" width="10.44140625" style="1" customWidth="1"/>
    <col min="2" max="2" width="8.88671875" style="1" customWidth="1"/>
    <col min="3" max="3" width="13.44140625" style="1" bestFit="1" customWidth="1"/>
    <col min="4" max="4" width="8.88671875" style="1" customWidth="1"/>
    <col min="5" max="5" width="9.109375" style="19"/>
    <col min="6" max="6" width="10.109375" style="17" customWidth="1"/>
    <col min="7" max="7" width="48.109375" style="1" customWidth="1"/>
    <col min="8" max="8" width="48" style="1" customWidth="1"/>
    <col min="9" max="9" width="9" style="1" customWidth="1"/>
    <col min="10" max="10" width="3.6640625" style="18" customWidth="1"/>
    <col min="11" max="12" width="9.109375" style="1" customWidth="1"/>
    <col min="13" max="13" width="4.5546875" style="1" customWidth="1"/>
    <col min="14" max="15" width="3.33203125" style="1" customWidth="1"/>
    <col min="16" max="16" width="54.44140625" style="1" customWidth="1"/>
    <col min="17" max="17" width="39.44140625" style="1" customWidth="1"/>
    <col min="18" max="18" width="47.5546875" style="2" customWidth="1"/>
    <col min="19" max="16384" width="9.109375" style="1"/>
  </cols>
  <sheetData>
    <row r="1" spans="1:46" s="3" customFormat="1" x14ac:dyDescent="0.2">
      <c r="A1" s="3" t="s">
        <v>5</v>
      </c>
      <c r="B1" s="3" t="s">
        <v>6</v>
      </c>
      <c r="C1" s="3" t="s">
        <v>7419</v>
      </c>
      <c r="D1" s="3" t="s">
        <v>7412</v>
      </c>
      <c r="E1" s="20" t="s">
        <v>7410</v>
      </c>
      <c r="F1" s="23" t="s">
        <v>7417</v>
      </c>
      <c r="G1" s="3" t="s">
        <v>6670</v>
      </c>
      <c r="H1" s="3" t="s">
        <v>6621</v>
      </c>
      <c r="I1" s="3" t="s">
        <v>7</v>
      </c>
      <c r="J1" s="23" t="s">
        <v>7418</v>
      </c>
      <c r="K1" s="3" t="s">
        <v>0</v>
      </c>
      <c r="L1" s="3" t="s">
        <v>1</v>
      </c>
      <c r="M1" s="3" t="s">
        <v>3331</v>
      </c>
      <c r="N1" s="3" t="s">
        <v>7014</v>
      </c>
      <c r="O1" s="3" t="s">
        <v>7023</v>
      </c>
      <c r="P1" s="3" t="s">
        <v>2</v>
      </c>
      <c r="Q1" s="3" t="s">
        <v>3</v>
      </c>
      <c r="R1" s="4" t="s">
        <v>4</v>
      </c>
      <c r="S1" s="1" t="s">
        <v>6439</v>
      </c>
      <c r="T1" s="1" t="s">
        <v>6428</v>
      </c>
      <c r="U1" s="1" t="s">
        <v>6429</v>
      </c>
      <c r="V1" s="1" t="s">
        <v>6243</v>
      </c>
      <c r="W1" s="1" t="s">
        <v>6430</v>
      </c>
      <c r="X1" s="1" t="s">
        <v>6431</v>
      </c>
      <c r="Y1" s="1" t="s">
        <v>6432</v>
      </c>
      <c r="Z1" s="1" t="s">
        <v>6270</v>
      </c>
      <c r="AA1" s="1" t="s">
        <v>6246</v>
      </c>
      <c r="AB1" s="1" t="s">
        <v>6433</v>
      </c>
      <c r="AC1" s="1" t="s">
        <v>6434</v>
      </c>
      <c r="AD1" s="1" t="s">
        <v>6244</v>
      </c>
      <c r="AE1" s="1" t="s">
        <v>6435</v>
      </c>
      <c r="AF1" s="1" t="s">
        <v>6436</v>
      </c>
      <c r="AG1" s="1" t="s">
        <v>6437</v>
      </c>
      <c r="AH1" s="1" t="s">
        <v>6438</v>
      </c>
      <c r="AI1" s="1" t="s">
        <v>6243</v>
      </c>
      <c r="AJ1" s="1" t="s">
        <v>6430</v>
      </c>
      <c r="AK1" s="1" t="s">
        <v>6431</v>
      </c>
      <c r="AL1" s="1" t="s">
        <v>6432</v>
      </c>
      <c r="AM1" s="1" t="s">
        <v>6270</v>
      </c>
      <c r="AN1" s="1" t="s">
        <v>6246</v>
      </c>
      <c r="AO1" s="1" t="s">
        <v>6433</v>
      </c>
      <c r="AP1" s="1" t="s">
        <v>6434</v>
      </c>
      <c r="AQ1" s="1" t="s">
        <v>6244</v>
      </c>
      <c r="AR1" s="1" t="s">
        <v>6435</v>
      </c>
      <c r="AS1" s="1" t="s">
        <v>6436</v>
      </c>
      <c r="AT1" s="1" t="s">
        <v>6437</v>
      </c>
    </row>
    <row r="2" spans="1:46" x14ac:dyDescent="0.2">
      <c r="A2" s="18" t="s">
        <v>7803</v>
      </c>
      <c r="B2" s="18">
        <v>18401594</v>
      </c>
      <c r="C2" s="18" t="s">
        <v>7421</v>
      </c>
      <c r="D2" s="18"/>
      <c r="E2" s="19">
        <v>63</v>
      </c>
      <c r="F2" s="18"/>
      <c r="G2" s="18" t="s">
        <v>799</v>
      </c>
      <c r="H2" s="18" t="s">
        <v>7052</v>
      </c>
      <c r="I2" s="24">
        <v>39548</v>
      </c>
      <c r="J2" s="18" t="s">
        <v>10</v>
      </c>
      <c r="K2" s="18" t="s">
        <v>595</v>
      </c>
      <c r="L2" s="18" t="s">
        <v>7804</v>
      </c>
      <c r="M2" s="18"/>
      <c r="N2" s="18" t="s">
        <v>10</v>
      </c>
      <c r="O2" s="18" t="s">
        <v>10</v>
      </c>
      <c r="P2" s="18" t="s">
        <v>7805</v>
      </c>
      <c r="Q2" s="18" t="s">
        <v>7806</v>
      </c>
      <c r="R2" s="18" t="s">
        <v>7807</v>
      </c>
      <c r="S2" s="1" t="s">
        <v>6270</v>
      </c>
      <c r="T2" s="1">
        <f t="shared" ref="T2:T65" si="0">SUM(U2,AH2)</f>
        <v>468</v>
      </c>
      <c r="U2" s="1">
        <f t="shared" ref="U2:U65" si="1">SUM(V2:AG2)</f>
        <v>184</v>
      </c>
      <c r="Z2" s="1">
        <f>96+88</f>
        <v>184</v>
      </c>
      <c r="AH2" s="1">
        <f>SUM(AI2:AT2)</f>
        <v>284</v>
      </c>
      <c r="AM2" s="1">
        <v>284</v>
      </c>
    </row>
    <row r="3" spans="1:46" x14ac:dyDescent="0.2">
      <c r="A3" s="18" t="s">
        <v>10190</v>
      </c>
      <c r="B3" s="18">
        <v>20179311</v>
      </c>
      <c r="C3" s="18" t="s">
        <v>7421</v>
      </c>
      <c r="D3" s="18"/>
      <c r="E3" s="19">
        <v>25</v>
      </c>
      <c r="F3" s="18">
        <v>1</v>
      </c>
      <c r="G3" s="18" t="s">
        <v>10191</v>
      </c>
      <c r="H3" s="18" t="s">
        <v>10192</v>
      </c>
      <c r="I3" s="24">
        <v>40232</v>
      </c>
      <c r="J3" s="18" t="s">
        <v>10</v>
      </c>
      <c r="K3" s="18" t="s">
        <v>10193</v>
      </c>
      <c r="L3" s="18" t="s">
        <v>10194</v>
      </c>
      <c r="M3" s="18"/>
      <c r="N3" s="18" t="s">
        <v>10</v>
      </c>
      <c r="O3" s="18" t="s">
        <v>10</v>
      </c>
      <c r="P3" s="18" t="s">
        <v>10195</v>
      </c>
      <c r="Q3" s="18" t="s">
        <v>33</v>
      </c>
      <c r="R3" s="18" t="s">
        <v>10196</v>
      </c>
      <c r="S3" s="1" t="s">
        <v>6243</v>
      </c>
      <c r="T3" s="1">
        <f t="shared" si="0"/>
        <v>24</v>
      </c>
      <c r="U3" s="1">
        <f t="shared" si="1"/>
        <v>24</v>
      </c>
      <c r="V3" s="1">
        <v>24</v>
      </c>
    </row>
    <row r="4" spans="1:46" x14ac:dyDescent="0.2">
      <c r="A4" s="18" t="s">
        <v>8725</v>
      </c>
      <c r="B4" s="18">
        <v>21093899</v>
      </c>
      <c r="C4" s="18" t="s">
        <v>7421</v>
      </c>
      <c r="D4" s="18"/>
      <c r="E4" s="19">
        <v>2</v>
      </c>
      <c r="F4" s="18"/>
      <c r="G4" s="18" t="s">
        <v>2356</v>
      </c>
      <c r="H4" s="18" t="s">
        <v>6681</v>
      </c>
      <c r="I4" s="24">
        <v>40502</v>
      </c>
      <c r="J4" s="18" t="s">
        <v>10</v>
      </c>
      <c r="K4" s="18" t="s">
        <v>8726</v>
      </c>
      <c r="L4" s="18" t="s">
        <v>8727</v>
      </c>
      <c r="M4" s="18"/>
      <c r="N4" s="18" t="s">
        <v>11</v>
      </c>
      <c r="O4" s="18" t="s">
        <v>11</v>
      </c>
      <c r="P4" s="18" t="s">
        <v>8728</v>
      </c>
      <c r="Q4" s="18" t="s">
        <v>33</v>
      </c>
      <c r="R4" s="18" t="s">
        <v>8729</v>
      </c>
      <c r="S4" s="1" t="s">
        <v>6243</v>
      </c>
      <c r="T4" s="1">
        <f t="shared" si="0"/>
        <v>886</v>
      </c>
      <c r="U4" s="1">
        <f t="shared" si="1"/>
        <v>886</v>
      </c>
      <c r="V4" s="1">
        <f>447+439</f>
        <v>886</v>
      </c>
    </row>
    <row r="5" spans="1:46" x14ac:dyDescent="0.2">
      <c r="A5" s="18" t="s">
        <v>8880</v>
      </c>
      <c r="B5" s="18">
        <v>21183627</v>
      </c>
      <c r="C5" s="18" t="s">
        <v>7421</v>
      </c>
      <c r="D5" s="18"/>
      <c r="E5" s="19">
        <v>39</v>
      </c>
      <c r="F5" s="18"/>
      <c r="G5" s="18" t="s">
        <v>8881</v>
      </c>
      <c r="H5" s="18" t="s">
        <v>8882</v>
      </c>
      <c r="I5" s="24">
        <v>40535</v>
      </c>
      <c r="J5" s="18" t="s">
        <v>11</v>
      </c>
      <c r="K5" s="18" t="s">
        <v>8883</v>
      </c>
      <c r="L5" s="18" t="s">
        <v>8884</v>
      </c>
      <c r="M5" s="18"/>
      <c r="N5" s="18" t="s">
        <v>10</v>
      </c>
      <c r="O5" s="18" t="s">
        <v>10</v>
      </c>
      <c r="P5" s="18" t="s">
        <v>8885</v>
      </c>
      <c r="Q5" s="18" t="s">
        <v>8886</v>
      </c>
      <c r="R5" s="18" t="s">
        <v>8887</v>
      </c>
      <c r="S5" s="1" t="s">
        <v>6244</v>
      </c>
      <c r="T5" s="1">
        <f t="shared" si="0"/>
        <v>1012</v>
      </c>
      <c r="U5" s="1">
        <f t="shared" si="1"/>
        <v>470</v>
      </c>
      <c r="V5" s="1">
        <v>470</v>
      </c>
      <c r="AH5" s="1">
        <f>SUM(AI5:AT5)</f>
        <v>542</v>
      </c>
      <c r="AJ5" s="1">
        <v>247</v>
      </c>
      <c r="AR5" s="1">
        <v>295</v>
      </c>
    </row>
    <row r="6" spans="1:46" x14ac:dyDescent="0.2">
      <c r="A6" s="18" t="s">
        <v>7476</v>
      </c>
      <c r="B6" s="18">
        <v>21873659</v>
      </c>
      <c r="C6" s="18" t="s">
        <v>7421</v>
      </c>
      <c r="D6" s="18"/>
      <c r="E6" s="19">
        <v>63</v>
      </c>
      <c r="F6" s="18"/>
      <c r="G6" s="18" t="s">
        <v>10343</v>
      </c>
      <c r="H6" s="18" t="s">
        <v>7379</v>
      </c>
      <c r="I6" s="24">
        <v>40815</v>
      </c>
      <c r="J6" s="18" t="s">
        <v>10</v>
      </c>
      <c r="K6" s="18" t="s">
        <v>3232</v>
      </c>
      <c r="L6" s="18" t="s">
        <v>10344</v>
      </c>
      <c r="M6" s="18"/>
      <c r="N6" s="18" t="s">
        <v>10</v>
      </c>
      <c r="O6" s="18" t="s">
        <v>10</v>
      </c>
      <c r="P6" s="18" t="s">
        <v>10345</v>
      </c>
      <c r="Q6" s="18" t="s">
        <v>10346</v>
      </c>
      <c r="R6" s="18" t="s">
        <v>10923</v>
      </c>
      <c r="S6" s="1" t="s">
        <v>6244</v>
      </c>
      <c r="T6" s="1">
        <f t="shared" si="0"/>
        <v>9174</v>
      </c>
      <c r="U6" s="1">
        <f t="shared" si="1"/>
        <v>2387</v>
      </c>
      <c r="V6" s="1">
        <v>1254</v>
      </c>
      <c r="W6" s="1">
        <v>823</v>
      </c>
      <c r="X6" s="1">
        <v>79</v>
      </c>
      <c r="Z6" s="1">
        <v>231</v>
      </c>
      <c r="AH6" s="1">
        <f>SUM(AI6:AT6)</f>
        <v>6787</v>
      </c>
      <c r="AI6" s="1">
        <f>3772+3015</f>
        <v>6787</v>
      </c>
    </row>
    <row r="7" spans="1:46" x14ac:dyDescent="0.2">
      <c r="A7" s="18" t="s">
        <v>8593</v>
      </c>
      <c r="B7" s="18">
        <v>22212596</v>
      </c>
      <c r="C7" s="18" t="s">
        <v>7421</v>
      </c>
      <c r="D7" s="18"/>
      <c r="E7" s="19">
        <v>16</v>
      </c>
      <c r="F7" s="18">
        <v>1</v>
      </c>
      <c r="G7" s="18" t="s">
        <v>8908</v>
      </c>
      <c r="H7" s="18" t="s">
        <v>8909</v>
      </c>
      <c r="I7" s="24">
        <v>40911</v>
      </c>
      <c r="J7" s="18" t="s">
        <v>10</v>
      </c>
      <c r="K7" s="18" t="s">
        <v>71</v>
      </c>
      <c r="L7" s="18" t="s">
        <v>8910</v>
      </c>
      <c r="M7" s="18"/>
      <c r="N7" s="18" t="s">
        <v>10</v>
      </c>
      <c r="O7" s="18" t="s">
        <v>10</v>
      </c>
      <c r="P7" s="18" t="s">
        <v>8911</v>
      </c>
      <c r="Q7" s="18" t="s">
        <v>33</v>
      </c>
      <c r="R7" s="18" t="s">
        <v>8912</v>
      </c>
      <c r="S7" s="1" t="s">
        <v>6243</v>
      </c>
      <c r="T7" s="1">
        <f t="shared" si="0"/>
        <v>153</v>
      </c>
      <c r="U7" s="1">
        <f t="shared" si="1"/>
        <v>153</v>
      </c>
      <c r="V7" s="1">
        <v>153</v>
      </c>
    </row>
    <row r="8" spans="1:46" x14ac:dyDescent="0.2">
      <c r="A8" s="18" t="s">
        <v>8823</v>
      </c>
      <c r="B8" s="18">
        <v>22216000</v>
      </c>
      <c r="C8" s="18" t="s">
        <v>7421</v>
      </c>
      <c r="D8" s="18"/>
      <c r="E8" s="19">
        <v>2</v>
      </c>
      <c r="F8" s="18"/>
      <c r="G8" s="18" t="s">
        <v>453</v>
      </c>
      <c r="H8" s="18" t="s">
        <v>7381</v>
      </c>
      <c r="I8" s="24">
        <v>40899</v>
      </c>
      <c r="J8" s="18" t="s">
        <v>10</v>
      </c>
      <c r="K8" s="18" t="s">
        <v>8824</v>
      </c>
      <c r="L8" s="18" t="s">
        <v>8825</v>
      </c>
      <c r="M8" s="18"/>
      <c r="N8" s="18" t="s">
        <v>10</v>
      </c>
      <c r="O8" s="18" t="s">
        <v>10</v>
      </c>
      <c r="P8" s="18" t="s">
        <v>8826</v>
      </c>
      <c r="Q8" s="18" t="s">
        <v>33</v>
      </c>
      <c r="R8" s="18" t="s">
        <v>8827</v>
      </c>
      <c r="S8" s="1" t="s">
        <v>6440</v>
      </c>
      <c r="T8" s="1">
        <f t="shared" si="0"/>
        <v>922</v>
      </c>
      <c r="U8" s="1">
        <f t="shared" si="1"/>
        <v>922</v>
      </c>
      <c r="W8" s="1">
        <v>922</v>
      </c>
    </row>
    <row r="9" spans="1:46" x14ac:dyDescent="0.2">
      <c r="A9" s="18" t="s">
        <v>8181</v>
      </c>
      <c r="B9" s="18">
        <v>22228098</v>
      </c>
      <c r="C9" s="18" t="s">
        <v>7421</v>
      </c>
      <c r="D9" s="18"/>
      <c r="E9" s="19">
        <v>4878</v>
      </c>
      <c r="F9" s="18"/>
      <c r="G9" s="18" t="s">
        <v>119</v>
      </c>
      <c r="H9" s="18" t="s">
        <v>6675</v>
      </c>
      <c r="I9" s="24">
        <v>40914</v>
      </c>
      <c r="J9" s="18" t="s">
        <v>10</v>
      </c>
      <c r="K9" s="18" t="s">
        <v>103</v>
      </c>
      <c r="L9" s="18" t="s">
        <v>8182</v>
      </c>
      <c r="M9" s="18"/>
      <c r="N9" s="18" t="s">
        <v>11</v>
      </c>
      <c r="O9" s="18" t="s">
        <v>11</v>
      </c>
      <c r="P9" s="18" t="s">
        <v>8183</v>
      </c>
      <c r="Q9" s="18" t="s">
        <v>33</v>
      </c>
      <c r="R9" s="18" t="s">
        <v>8184</v>
      </c>
      <c r="S9" s="1" t="s">
        <v>6270</v>
      </c>
      <c r="T9" s="1">
        <f t="shared" si="0"/>
        <v>2769</v>
      </c>
      <c r="U9" s="1">
        <f t="shared" si="1"/>
        <v>2769</v>
      </c>
      <c r="Z9" s="1">
        <f>1497+1272</f>
        <v>2769</v>
      </c>
    </row>
    <row r="10" spans="1:46" x14ac:dyDescent="0.2">
      <c r="A10" s="18" t="s">
        <v>8865</v>
      </c>
      <c r="B10" s="18">
        <v>22228203</v>
      </c>
      <c r="C10" s="18" t="s">
        <v>7421</v>
      </c>
      <c r="D10" s="18"/>
      <c r="E10" s="19">
        <v>19</v>
      </c>
      <c r="F10" s="18"/>
      <c r="G10" s="18" t="s">
        <v>10294</v>
      </c>
      <c r="H10" s="18" t="s">
        <v>10295</v>
      </c>
      <c r="I10" s="24">
        <v>40913</v>
      </c>
      <c r="J10" s="18" t="s">
        <v>11</v>
      </c>
      <c r="K10" s="18" t="s">
        <v>294</v>
      </c>
      <c r="L10" s="18" t="s">
        <v>10296</v>
      </c>
      <c r="M10" s="18"/>
      <c r="N10" s="18" t="s">
        <v>10</v>
      </c>
      <c r="O10" s="18" t="s">
        <v>10</v>
      </c>
      <c r="P10" s="18" t="s">
        <v>10297</v>
      </c>
      <c r="Q10" s="18" t="s">
        <v>33</v>
      </c>
      <c r="R10" s="18" t="s">
        <v>7528</v>
      </c>
      <c r="S10" s="1" t="s">
        <v>6243</v>
      </c>
      <c r="T10" s="1">
        <f t="shared" si="0"/>
        <v>1092</v>
      </c>
      <c r="U10" s="1">
        <f t="shared" si="1"/>
        <v>1092</v>
      </c>
      <c r="V10" s="1">
        <v>1092</v>
      </c>
    </row>
    <row r="11" spans="1:46" x14ac:dyDescent="0.2">
      <c r="A11" s="18" t="s">
        <v>10811</v>
      </c>
      <c r="B11" s="18">
        <v>22229870</v>
      </c>
      <c r="C11" s="18" t="s">
        <v>7421</v>
      </c>
      <c r="D11" s="18"/>
      <c r="E11" s="19">
        <v>15</v>
      </c>
      <c r="F11" s="18"/>
      <c r="G11" s="18" t="s">
        <v>6733</v>
      </c>
      <c r="H11" s="18" t="s">
        <v>7211</v>
      </c>
      <c r="I11" s="24">
        <v>40917</v>
      </c>
      <c r="J11" s="18" t="s">
        <v>11</v>
      </c>
      <c r="K11" s="18" t="s">
        <v>906</v>
      </c>
      <c r="L11" s="18" t="s">
        <v>10812</v>
      </c>
      <c r="M11" s="18"/>
      <c r="N11" s="18" t="s">
        <v>10</v>
      </c>
      <c r="O11" s="18" t="s">
        <v>10</v>
      </c>
      <c r="P11" s="18" t="s">
        <v>10813</v>
      </c>
      <c r="Q11" s="18" t="s">
        <v>33</v>
      </c>
      <c r="R11" s="18" t="s">
        <v>10814</v>
      </c>
      <c r="S11" s="1" t="s">
        <v>6243</v>
      </c>
      <c r="T11" s="1">
        <f t="shared" si="0"/>
        <v>1300</v>
      </c>
      <c r="U11" s="1">
        <f t="shared" si="1"/>
        <v>1300</v>
      </c>
      <c r="V11" s="1">
        <v>1300</v>
      </c>
    </row>
    <row r="12" spans="1:46" x14ac:dyDescent="0.2">
      <c r="A12" s="18" t="s">
        <v>2628</v>
      </c>
      <c r="B12" s="18">
        <v>22230323</v>
      </c>
      <c r="C12" s="18" t="s">
        <v>7421</v>
      </c>
      <c r="D12" s="18"/>
      <c r="E12" s="19">
        <v>50</v>
      </c>
      <c r="F12" s="18"/>
      <c r="G12" s="18" t="s">
        <v>10544</v>
      </c>
      <c r="H12" s="18" t="s">
        <v>10545</v>
      </c>
      <c r="I12" s="24">
        <v>40917</v>
      </c>
      <c r="J12" s="18" t="s">
        <v>10</v>
      </c>
      <c r="K12" s="18" t="s">
        <v>551</v>
      </c>
      <c r="L12" s="18" t="s">
        <v>10546</v>
      </c>
      <c r="M12" s="18"/>
      <c r="N12" s="18" t="s">
        <v>10</v>
      </c>
      <c r="O12" s="18" t="s">
        <v>10</v>
      </c>
      <c r="P12" s="18" t="s">
        <v>10547</v>
      </c>
      <c r="Q12" s="18" t="s">
        <v>33</v>
      </c>
      <c r="R12" s="18" t="s">
        <v>10548</v>
      </c>
      <c r="S12" s="1" t="s">
        <v>6243</v>
      </c>
      <c r="T12" s="1">
        <f t="shared" si="0"/>
        <v>6766</v>
      </c>
      <c r="U12" s="1">
        <f t="shared" si="1"/>
        <v>6766</v>
      </c>
      <c r="V12" s="1">
        <v>6766</v>
      </c>
    </row>
    <row r="13" spans="1:46" x14ac:dyDescent="0.2">
      <c r="A13" s="18" t="s">
        <v>1797</v>
      </c>
      <c r="B13" s="18">
        <v>22232737</v>
      </c>
      <c r="C13" s="18" t="s">
        <v>7421</v>
      </c>
      <c r="D13" s="18"/>
      <c r="E13" s="19">
        <v>105</v>
      </c>
      <c r="F13" s="18"/>
      <c r="G13" s="18" t="s">
        <v>1399</v>
      </c>
      <c r="H13" s="18" t="s">
        <v>6676</v>
      </c>
      <c r="I13" s="24">
        <v>40917</v>
      </c>
      <c r="J13" s="18" t="s">
        <v>11</v>
      </c>
      <c r="K13" s="18" t="s">
        <v>662</v>
      </c>
      <c r="L13" s="18" t="s">
        <v>8214</v>
      </c>
      <c r="M13" s="18"/>
      <c r="N13" s="18" t="s">
        <v>11</v>
      </c>
      <c r="O13" s="18" t="s">
        <v>11</v>
      </c>
      <c r="P13" s="18" t="s">
        <v>8215</v>
      </c>
      <c r="Q13" s="18" t="s">
        <v>8216</v>
      </c>
      <c r="R13" s="18" t="s">
        <v>8217</v>
      </c>
      <c r="S13" s="1" t="s">
        <v>6242</v>
      </c>
      <c r="T13" s="1">
        <f t="shared" si="0"/>
        <v>6110</v>
      </c>
      <c r="U13" s="1">
        <f t="shared" si="1"/>
        <v>1950</v>
      </c>
      <c r="X13" s="1">
        <v>1950</v>
      </c>
      <c r="AH13" s="1">
        <f>SUM(AI13:AT13)</f>
        <v>4160</v>
      </c>
      <c r="AK13" s="1">
        <v>4160</v>
      </c>
    </row>
    <row r="14" spans="1:46" x14ac:dyDescent="0.2">
      <c r="A14" s="18" t="s">
        <v>10790</v>
      </c>
      <c r="B14" s="18">
        <v>22233651</v>
      </c>
      <c r="C14" s="18" t="s">
        <v>7421</v>
      </c>
      <c r="D14" s="18"/>
      <c r="E14" s="19">
        <v>66</v>
      </c>
      <c r="F14" s="18"/>
      <c r="G14" s="18" t="s">
        <v>10791</v>
      </c>
      <c r="H14" s="18" t="s">
        <v>10792</v>
      </c>
      <c r="I14" s="24">
        <v>40918</v>
      </c>
      <c r="J14" s="18" t="s">
        <v>11</v>
      </c>
      <c r="K14" s="18" t="s">
        <v>90</v>
      </c>
      <c r="L14" s="18" t="s">
        <v>10793</v>
      </c>
      <c r="M14" s="18"/>
      <c r="N14" s="18" t="s">
        <v>11</v>
      </c>
      <c r="O14" s="18" t="s">
        <v>11</v>
      </c>
      <c r="P14" s="18" t="s">
        <v>10794</v>
      </c>
      <c r="Q14" s="18" t="s">
        <v>10795</v>
      </c>
      <c r="R14" s="18" t="s">
        <v>10796</v>
      </c>
      <c r="S14" s="1" t="s">
        <v>6242</v>
      </c>
      <c r="T14" s="1">
        <f t="shared" si="0"/>
        <v>3424</v>
      </c>
      <c r="U14" s="1">
        <f t="shared" si="1"/>
        <v>1710</v>
      </c>
      <c r="X14" s="1">
        <f>468+1242</f>
        <v>1710</v>
      </c>
      <c r="AH14" s="1">
        <f>SUM(AI14:AT14)</f>
        <v>1714</v>
      </c>
      <c r="AK14" s="1">
        <f>931+783</f>
        <v>1714</v>
      </c>
    </row>
    <row r="15" spans="1:46" x14ac:dyDescent="0.2">
      <c r="A15" s="18" t="s">
        <v>8934</v>
      </c>
      <c r="B15" s="18">
        <v>22233810</v>
      </c>
      <c r="C15" s="18" t="s">
        <v>7421</v>
      </c>
      <c r="D15" s="18"/>
      <c r="E15" s="19">
        <v>35859</v>
      </c>
      <c r="F15" s="18">
        <v>1</v>
      </c>
      <c r="G15" s="18" t="s">
        <v>8935</v>
      </c>
      <c r="H15" s="18" t="s">
        <v>8936</v>
      </c>
      <c r="I15" s="24">
        <v>40918</v>
      </c>
      <c r="J15" s="18" t="s">
        <v>10</v>
      </c>
      <c r="K15" s="18" t="s">
        <v>210</v>
      </c>
      <c r="L15" s="18" t="s">
        <v>8937</v>
      </c>
      <c r="M15" s="18"/>
      <c r="N15" s="18" t="s">
        <v>11</v>
      </c>
      <c r="O15" s="18" t="s">
        <v>11</v>
      </c>
      <c r="P15" s="18" t="s">
        <v>8938</v>
      </c>
      <c r="Q15" s="18" t="s">
        <v>33</v>
      </c>
      <c r="R15" s="18" t="s">
        <v>8939</v>
      </c>
      <c r="S15" s="1" t="s">
        <v>6243</v>
      </c>
      <c r="T15" s="1">
        <f t="shared" si="0"/>
        <v>65</v>
      </c>
      <c r="U15" s="1">
        <f t="shared" si="1"/>
        <v>65</v>
      </c>
      <c r="V15" s="1">
        <v>65</v>
      </c>
    </row>
    <row r="16" spans="1:46" x14ac:dyDescent="0.2">
      <c r="A16" s="18" t="s">
        <v>9162</v>
      </c>
      <c r="B16" s="18">
        <v>22238471</v>
      </c>
      <c r="C16" s="18" t="s">
        <v>7421</v>
      </c>
      <c r="D16" s="18"/>
      <c r="E16" s="19">
        <v>45</v>
      </c>
      <c r="F16" s="18"/>
      <c r="G16" s="18" t="s">
        <v>9163</v>
      </c>
      <c r="H16" s="18" t="s">
        <v>7172</v>
      </c>
      <c r="I16" s="24">
        <v>40919</v>
      </c>
      <c r="J16" s="18" t="s">
        <v>10</v>
      </c>
      <c r="K16" s="18" t="s">
        <v>657</v>
      </c>
      <c r="L16" s="18" t="s">
        <v>9164</v>
      </c>
      <c r="M16" s="18"/>
      <c r="N16" s="18" t="s">
        <v>10</v>
      </c>
      <c r="O16" s="18" t="s">
        <v>10</v>
      </c>
      <c r="P16" s="18" t="s">
        <v>9165</v>
      </c>
      <c r="Q16" s="18" t="s">
        <v>33</v>
      </c>
      <c r="R16" s="18" t="s">
        <v>10943</v>
      </c>
      <c r="S16" s="1" t="s">
        <v>6243</v>
      </c>
      <c r="T16" s="1">
        <f t="shared" si="0"/>
        <v>749</v>
      </c>
      <c r="U16" s="1">
        <f t="shared" si="1"/>
        <v>749</v>
      </c>
      <c r="V16" s="1">
        <f>144+605</f>
        <v>749</v>
      </c>
    </row>
    <row r="17" spans="1:46" x14ac:dyDescent="0.2">
      <c r="A17" s="18" t="s">
        <v>1173</v>
      </c>
      <c r="B17" s="18">
        <v>22238593</v>
      </c>
      <c r="C17" s="18" t="s">
        <v>7421</v>
      </c>
      <c r="D17" s="18"/>
      <c r="E17" s="19">
        <v>227</v>
      </c>
      <c r="F17" s="18"/>
      <c r="G17" s="18" t="s">
        <v>61</v>
      </c>
      <c r="H17" s="18" t="s">
        <v>7396</v>
      </c>
      <c r="I17" s="24">
        <v>40912</v>
      </c>
      <c r="J17" s="18" t="s">
        <v>11</v>
      </c>
      <c r="K17" s="18" t="s">
        <v>181</v>
      </c>
      <c r="L17" s="18" t="s">
        <v>10774</v>
      </c>
      <c r="M17" s="18"/>
      <c r="N17" s="18" t="s">
        <v>10</v>
      </c>
      <c r="O17" s="18" t="s">
        <v>10</v>
      </c>
      <c r="P17" s="18" t="s">
        <v>10775</v>
      </c>
      <c r="Q17" s="18" t="s">
        <v>10776</v>
      </c>
      <c r="R17" s="18" t="s">
        <v>10777</v>
      </c>
      <c r="S17" s="1" t="s">
        <v>6440</v>
      </c>
      <c r="T17" s="1">
        <f t="shared" si="0"/>
        <v>6449</v>
      </c>
      <c r="U17" s="1">
        <f t="shared" si="1"/>
        <v>1994</v>
      </c>
      <c r="W17" s="1">
        <f>965+1029</f>
        <v>1994</v>
      </c>
      <c r="AH17" s="1">
        <f>SUM(AI17:AT17)</f>
        <v>4455</v>
      </c>
      <c r="AJ17" s="1">
        <f>2167+2288</f>
        <v>4455</v>
      </c>
    </row>
    <row r="18" spans="1:46" x14ac:dyDescent="0.2">
      <c r="A18" s="18" t="s">
        <v>2554</v>
      </c>
      <c r="B18" s="18">
        <v>22239941</v>
      </c>
      <c r="C18" s="18" t="s">
        <v>7421</v>
      </c>
      <c r="D18" s="18"/>
      <c r="E18" s="19">
        <v>251</v>
      </c>
      <c r="F18" s="18"/>
      <c r="G18" s="18" t="s">
        <v>1647</v>
      </c>
      <c r="H18" s="18" t="s">
        <v>7123</v>
      </c>
      <c r="I18" s="24">
        <v>40921</v>
      </c>
      <c r="J18" s="18" t="s">
        <v>11</v>
      </c>
      <c r="K18" s="18" t="s">
        <v>220</v>
      </c>
      <c r="L18" s="18" t="s">
        <v>10734</v>
      </c>
      <c r="M18" s="18"/>
      <c r="N18" s="18" t="s">
        <v>10</v>
      </c>
      <c r="O18" s="18" t="s">
        <v>10</v>
      </c>
      <c r="P18" s="18" t="s">
        <v>10735</v>
      </c>
      <c r="Q18" s="18" t="s">
        <v>10736</v>
      </c>
      <c r="R18" s="18" t="s">
        <v>10737</v>
      </c>
      <c r="S18" s="1" t="s">
        <v>6244</v>
      </c>
      <c r="T18" s="1">
        <f t="shared" si="0"/>
        <v>4979</v>
      </c>
      <c r="U18" s="1">
        <f t="shared" si="1"/>
        <v>223</v>
      </c>
      <c r="AG18" s="1">
        <f>108+115</f>
        <v>223</v>
      </c>
      <c r="AH18" s="1">
        <f>SUM(AI18:AT18)</f>
        <v>4756</v>
      </c>
      <c r="AI18" s="1">
        <f>1779+1837</f>
        <v>3616</v>
      </c>
      <c r="AT18" s="1">
        <f>600+540</f>
        <v>1140</v>
      </c>
    </row>
    <row r="19" spans="1:46" x14ac:dyDescent="0.2">
      <c r="A19" s="18" t="s">
        <v>9260</v>
      </c>
      <c r="B19" s="18">
        <v>22247754</v>
      </c>
      <c r="C19" s="18" t="s">
        <v>7421</v>
      </c>
      <c r="D19" s="18"/>
      <c r="E19" s="19">
        <v>8</v>
      </c>
      <c r="F19" s="18"/>
      <c r="G19" s="18" t="s">
        <v>9261</v>
      </c>
      <c r="H19" s="18" t="s">
        <v>9262</v>
      </c>
      <c r="I19" s="24">
        <v>40919</v>
      </c>
      <c r="J19" s="18" t="s">
        <v>11</v>
      </c>
      <c r="K19" s="18" t="s">
        <v>181</v>
      </c>
      <c r="L19" s="18" t="s">
        <v>9263</v>
      </c>
      <c r="M19" s="18"/>
      <c r="N19" s="18" t="s">
        <v>10</v>
      </c>
      <c r="O19" s="18" t="s">
        <v>10</v>
      </c>
      <c r="P19" s="18" t="s">
        <v>9264</v>
      </c>
      <c r="Q19" s="18" t="s">
        <v>33</v>
      </c>
      <c r="R19" s="18" t="s">
        <v>1780</v>
      </c>
      <c r="S19" s="1" t="s">
        <v>6243</v>
      </c>
      <c r="T19" s="1">
        <f t="shared" si="0"/>
        <v>904</v>
      </c>
      <c r="U19" s="1">
        <f t="shared" si="1"/>
        <v>904</v>
      </c>
      <c r="V19" s="1">
        <f>607+297</f>
        <v>904</v>
      </c>
    </row>
    <row r="20" spans="1:46" x14ac:dyDescent="0.2">
      <c r="A20" s="18" t="s">
        <v>8154</v>
      </c>
      <c r="B20" s="18">
        <v>22258532</v>
      </c>
      <c r="C20" s="18" t="s">
        <v>7421</v>
      </c>
      <c r="D20" s="18"/>
      <c r="E20" s="19">
        <v>45</v>
      </c>
      <c r="F20" s="18"/>
      <c r="G20" s="18" t="s">
        <v>119</v>
      </c>
      <c r="H20" s="18" t="s">
        <v>6675</v>
      </c>
      <c r="I20" s="24">
        <v>40926</v>
      </c>
      <c r="J20" s="18" t="s">
        <v>10</v>
      </c>
      <c r="K20" s="18" t="s">
        <v>592</v>
      </c>
      <c r="L20" s="18" t="s">
        <v>8155</v>
      </c>
      <c r="M20" s="18"/>
      <c r="N20" s="18" t="s">
        <v>11</v>
      </c>
      <c r="O20" s="18" t="s">
        <v>11</v>
      </c>
      <c r="P20" s="18" t="s">
        <v>8156</v>
      </c>
      <c r="Q20" s="18" t="s">
        <v>8157</v>
      </c>
      <c r="R20" s="18" t="s">
        <v>8158</v>
      </c>
      <c r="S20" s="1" t="s">
        <v>6243</v>
      </c>
      <c r="T20" s="1">
        <f t="shared" si="0"/>
        <v>3115</v>
      </c>
      <c r="U20" s="1">
        <f t="shared" si="1"/>
        <v>623</v>
      </c>
      <c r="V20" s="1">
        <f>302+321</f>
        <v>623</v>
      </c>
      <c r="AH20" s="1">
        <f>SUM(AI20:AT20)</f>
        <v>2492</v>
      </c>
      <c r="AR20" s="1">
        <f>1178+1314</f>
        <v>2492</v>
      </c>
    </row>
    <row r="21" spans="1:46" x14ac:dyDescent="0.2">
      <c r="A21" s="18" t="s">
        <v>80</v>
      </c>
      <c r="B21" s="18">
        <v>22267200</v>
      </c>
      <c r="C21" s="18" t="s">
        <v>7421</v>
      </c>
      <c r="D21" s="18"/>
      <c r="E21" s="19">
        <v>58</v>
      </c>
      <c r="F21" s="18"/>
      <c r="G21" s="18" t="s">
        <v>9410</v>
      </c>
      <c r="H21" s="18" t="s">
        <v>9411</v>
      </c>
      <c r="I21" s="24">
        <v>40930</v>
      </c>
      <c r="J21" s="18" t="s">
        <v>11</v>
      </c>
      <c r="K21" s="18" t="s">
        <v>28</v>
      </c>
      <c r="L21" s="18" t="s">
        <v>9412</v>
      </c>
      <c r="M21" s="18"/>
      <c r="N21" s="18" t="s">
        <v>10</v>
      </c>
      <c r="O21" s="18" t="s">
        <v>10</v>
      </c>
      <c r="P21" s="18" t="s">
        <v>9413</v>
      </c>
      <c r="Q21" s="18" t="s">
        <v>9414</v>
      </c>
      <c r="R21" s="18" t="s">
        <v>9415</v>
      </c>
      <c r="S21" s="1" t="s">
        <v>6243</v>
      </c>
      <c r="T21" s="1">
        <f t="shared" si="0"/>
        <v>71531</v>
      </c>
      <c r="U21" s="1">
        <f t="shared" si="1"/>
        <v>27758</v>
      </c>
      <c r="V21" s="1">
        <v>27758</v>
      </c>
      <c r="AH21" s="1">
        <f>SUM(AI21:AT21)</f>
        <v>43773</v>
      </c>
      <c r="AI21" s="1">
        <f>1156+42617</f>
        <v>43773</v>
      </c>
    </row>
    <row r="22" spans="1:46" x14ac:dyDescent="0.2">
      <c r="A22" s="18" t="s">
        <v>7497</v>
      </c>
      <c r="B22" s="18">
        <v>22267201</v>
      </c>
      <c r="C22" s="18" t="s">
        <v>7421</v>
      </c>
      <c r="D22" s="18"/>
      <c r="E22" s="19">
        <v>112</v>
      </c>
      <c r="F22" s="18"/>
      <c r="G22" s="18" t="s">
        <v>7498</v>
      </c>
      <c r="H22" s="18" t="s">
        <v>7499</v>
      </c>
      <c r="I22" s="24">
        <v>40930</v>
      </c>
      <c r="J22" s="18" t="s">
        <v>11</v>
      </c>
      <c r="K22" s="18" t="s">
        <v>28</v>
      </c>
      <c r="L22" s="18" t="s">
        <v>7500</v>
      </c>
      <c r="M22" s="18"/>
      <c r="N22" s="18" t="s">
        <v>11</v>
      </c>
      <c r="O22" s="18" t="s">
        <v>11</v>
      </c>
      <c r="P22" s="18" t="s">
        <v>7501</v>
      </c>
      <c r="Q22" s="18" t="s">
        <v>7502</v>
      </c>
      <c r="R22" s="18" t="s">
        <v>7503</v>
      </c>
      <c r="S22" s="1" t="s">
        <v>6243</v>
      </c>
      <c r="T22" s="1">
        <f t="shared" si="0"/>
        <v>53403</v>
      </c>
      <c r="U22" s="1">
        <f t="shared" si="1"/>
        <v>38968</v>
      </c>
      <c r="V22" s="1">
        <v>38968</v>
      </c>
      <c r="AH22" s="1">
        <f>SUM(AI22:AT22)</f>
        <v>14435</v>
      </c>
      <c r="AI22" s="1">
        <v>14435</v>
      </c>
    </row>
    <row r="23" spans="1:46" x14ac:dyDescent="0.2">
      <c r="A23" s="18" t="s">
        <v>7977</v>
      </c>
      <c r="B23" s="18">
        <v>22267851</v>
      </c>
      <c r="C23" s="18" t="s">
        <v>7421</v>
      </c>
      <c r="D23" s="18"/>
      <c r="E23" s="19">
        <v>14</v>
      </c>
      <c r="F23" s="18"/>
      <c r="G23" s="18" t="s">
        <v>7978</v>
      </c>
      <c r="H23" s="18" t="s">
        <v>7979</v>
      </c>
      <c r="I23" s="24">
        <v>40928</v>
      </c>
      <c r="J23" s="18" t="s">
        <v>10</v>
      </c>
      <c r="K23" s="18" t="s">
        <v>7980</v>
      </c>
      <c r="L23" s="18" t="s">
        <v>7981</v>
      </c>
      <c r="M23" s="18"/>
      <c r="N23" s="18" t="s">
        <v>10</v>
      </c>
      <c r="O23" s="18" t="s">
        <v>10</v>
      </c>
      <c r="P23" s="18" t="s">
        <v>7982</v>
      </c>
      <c r="Q23" s="18" t="s">
        <v>7983</v>
      </c>
      <c r="R23" s="18" t="s">
        <v>7984</v>
      </c>
      <c r="S23" s="1" t="s">
        <v>6243</v>
      </c>
      <c r="T23" s="1">
        <f t="shared" si="0"/>
        <v>1773</v>
      </c>
      <c r="U23" s="1">
        <f t="shared" si="1"/>
        <v>1773</v>
      </c>
      <c r="V23" s="1">
        <v>1773</v>
      </c>
    </row>
    <row r="24" spans="1:46" x14ac:dyDescent="0.2">
      <c r="A24" s="18" t="s">
        <v>1141</v>
      </c>
      <c r="B24" s="18">
        <v>22279548</v>
      </c>
      <c r="C24" s="18" t="s">
        <v>7421</v>
      </c>
      <c r="D24" s="18"/>
      <c r="E24" s="19">
        <v>281</v>
      </c>
      <c r="F24" s="18"/>
      <c r="G24" s="18" t="s">
        <v>1387</v>
      </c>
      <c r="H24" s="18" t="s">
        <v>2428</v>
      </c>
      <c r="I24" s="24">
        <v>40926</v>
      </c>
      <c r="J24" s="18" t="s">
        <v>11</v>
      </c>
      <c r="K24" s="18" t="s">
        <v>181</v>
      </c>
      <c r="L24" s="18" t="s">
        <v>9406</v>
      </c>
      <c r="M24" s="18"/>
      <c r="N24" s="18" t="s">
        <v>10</v>
      </c>
      <c r="O24" s="18" t="s">
        <v>10</v>
      </c>
      <c r="P24" s="18" t="s">
        <v>9407</v>
      </c>
      <c r="Q24" s="18" t="s">
        <v>9408</v>
      </c>
      <c r="R24" s="18" t="s">
        <v>9409</v>
      </c>
      <c r="S24" s="1" t="s">
        <v>6243</v>
      </c>
      <c r="T24" s="1">
        <f t="shared" si="0"/>
        <v>2895</v>
      </c>
      <c r="U24" s="1">
        <f t="shared" si="1"/>
        <v>1715</v>
      </c>
      <c r="V24" s="1">
        <f>801+914</f>
        <v>1715</v>
      </c>
      <c r="AH24" s="1">
        <f>SUM(AI24:AT24)</f>
        <v>1180</v>
      </c>
      <c r="AI24" s="1">
        <v>292</v>
      </c>
      <c r="AR24" s="1">
        <f>21+867</f>
        <v>888</v>
      </c>
    </row>
    <row r="25" spans="1:46" x14ac:dyDescent="0.2">
      <c r="A25" s="18" t="s">
        <v>7997</v>
      </c>
      <c r="B25" s="18">
        <v>22286170</v>
      </c>
      <c r="C25" s="18" t="s">
        <v>7421</v>
      </c>
      <c r="D25" s="18"/>
      <c r="E25" s="19">
        <v>497</v>
      </c>
      <c r="F25" s="18"/>
      <c r="G25" s="18" t="s">
        <v>7998</v>
      </c>
      <c r="H25" s="18" t="s">
        <v>7999</v>
      </c>
      <c r="I25" s="24">
        <v>40935</v>
      </c>
      <c r="J25" s="18" t="s">
        <v>11</v>
      </c>
      <c r="K25" s="18" t="s">
        <v>103</v>
      </c>
      <c r="L25" s="18" t="s">
        <v>8000</v>
      </c>
      <c r="M25" s="18"/>
      <c r="N25" s="18" t="s">
        <v>10</v>
      </c>
      <c r="O25" s="18" t="s">
        <v>10</v>
      </c>
      <c r="P25" s="18" t="s">
        <v>8001</v>
      </c>
      <c r="Q25" s="18" t="s">
        <v>33</v>
      </c>
      <c r="R25" s="18" t="s">
        <v>8002</v>
      </c>
      <c r="S25" s="1" t="s">
        <v>6243</v>
      </c>
      <c r="T25" s="1">
        <f t="shared" si="0"/>
        <v>462</v>
      </c>
      <c r="U25" s="1">
        <f t="shared" si="1"/>
        <v>462</v>
      </c>
      <c r="V25" s="1">
        <v>462</v>
      </c>
    </row>
    <row r="26" spans="1:46" x14ac:dyDescent="0.2">
      <c r="A26" s="18" t="s">
        <v>1632</v>
      </c>
      <c r="B26" s="18">
        <v>22286173</v>
      </c>
      <c r="C26" s="18" t="s">
        <v>7421</v>
      </c>
      <c r="D26" s="18"/>
      <c r="E26" s="19">
        <v>43</v>
      </c>
      <c r="F26" s="18"/>
      <c r="G26" s="18" t="s">
        <v>604</v>
      </c>
      <c r="H26" s="18" t="s">
        <v>7404</v>
      </c>
      <c r="I26" s="24">
        <v>40935</v>
      </c>
      <c r="J26" s="18" t="s">
        <v>11</v>
      </c>
      <c r="K26" s="18" t="s">
        <v>103</v>
      </c>
      <c r="L26" s="18" t="s">
        <v>9284</v>
      </c>
      <c r="M26" s="18"/>
      <c r="N26" s="18" t="s">
        <v>10</v>
      </c>
      <c r="O26" s="18" t="s">
        <v>10</v>
      </c>
      <c r="P26" s="18" t="s">
        <v>9285</v>
      </c>
      <c r="Q26" s="18" t="s">
        <v>9286</v>
      </c>
      <c r="R26" s="18" t="s">
        <v>9287</v>
      </c>
      <c r="S26" s="1" t="s">
        <v>6242</v>
      </c>
      <c r="T26" s="1">
        <f t="shared" si="0"/>
        <v>15127</v>
      </c>
      <c r="U26" s="1">
        <f t="shared" si="1"/>
        <v>6867</v>
      </c>
      <c r="X26" s="1">
        <f>1383+5484</f>
        <v>6867</v>
      </c>
      <c r="AH26" s="1">
        <f>SUM(AI26:AT26)</f>
        <v>8260</v>
      </c>
      <c r="AK26" s="1">
        <f>1048+7212</f>
        <v>8260</v>
      </c>
    </row>
    <row r="27" spans="1:46" x14ac:dyDescent="0.2">
      <c r="A27" s="18" t="s">
        <v>9502</v>
      </c>
      <c r="B27" s="18">
        <v>22286212</v>
      </c>
      <c r="C27" s="18" t="s">
        <v>7421</v>
      </c>
      <c r="D27" s="18"/>
      <c r="E27" s="19">
        <v>36</v>
      </c>
      <c r="F27" s="18"/>
      <c r="G27" s="18" t="s">
        <v>9503</v>
      </c>
      <c r="H27" s="18" t="s">
        <v>6820</v>
      </c>
      <c r="I27" s="24">
        <v>40935</v>
      </c>
      <c r="J27" s="18" t="s">
        <v>11</v>
      </c>
      <c r="K27" s="18" t="s">
        <v>311</v>
      </c>
      <c r="L27" s="18" t="s">
        <v>9504</v>
      </c>
      <c r="M27" s="18"/>
      <c r="N27" s="18" t="s">
        <v>10</v>
      </c>
      <c r="O27" s="18" t="s">
        <v>10</v>
      </c>
      <c r="P27" s="18" t="s">
        <v>9505</v>
      </c>
      <c r="Q27" s="18" t="s">
        <v>9506</v>
      </c>
      <c r="R27" s="18" t="s">
        <v>9507</v>
      </c>
      <c r="S27" s="1" t="s">
        <v>6243</v>
      </c>
      <c r="T27" s="1">
        <f t="shared" si="0"/>
        <v>8793</v>
      </c>
      <c r="U27" s="1">
        <f t="shared" si="1"/>
        <v>7617</v>
      </c>
      <c r="V27" s="1">
        <f>1200+6417</f>
        <v>7617</v>
      </c>
      <c r="AH27" s="1">
        <f>SUM(AI27:AT27)</f>
        <v>1176</v>
      </c>
      <c r="AI27" s="1">
        <f>563+613</f>
        <v>1176</v>
      </c>
    </row>
    <row r="28" spans="1:46" x14ac:dyDescent="0.2">
      <c r="A28" s="18" t="s">
        <v>9591</v>
      </c>
      <c r="B28" s="18">
        <v>22286219</v>
      </c>
      <c r="C28" s="18" t="s">
        <v>7421</v>
      </c>
      <c r="D28" s="18"/>
      <c r="E28" s="19">
        <v>14050</v>
      </c>
      <c r="F28" s="18">
        <v>1</v>
      </c>
      <c r="G28" s="18" t="s">
        <v>6759</v>
      </c>
      <c r="H28" s="18" t="s">
        <v>7211</v>
      </c>
      <c r="I28" s="24">
        <v>40937</v>
      </c>
      <c r="J28" s="18" t="s">
        <v>11</v>
      </c>
      <c r="K28" s="18" t="s">
        <v>28</v>
      </c>
      <c r="L28" s="18" t="s">
        <v>9592</v>
      </c>
      <c r="M28" s="18"/>
      <c r="N28" s="18" t="s">
        <v>10</v>
      </c>
      <c r="O28" s="18" t="s">
        <v>10</v>
      </c>
      <c r="P28" s="18" t="s">
        <v>9593</v>
      </c>
      <c r="Q28" s="18" t="s">
        <v>33</v>
      </c>
      <c r="R28" s="18" t="s">
        <v>7623</v>
      </c>
      <c r="S28" s="1" t="s">
        <v>6243</v>
      </c>
      <c r="T28" s="1">
        <f t="shared" si="0"/>
        <v>8330</v>
      </c>
      <c r="U28" s="1">
        <f t="shared" si="1"/>
        <v>8330</v>
      </c>
      <c r="V28" s="1">
        <v>8330</v>
      </c>
    </row>
    <row r="29" spans="1:46" x14ac:dyDescent="0.2">
      <c r="A29" s="18" t="s">
        <v>2023</v>
      </c>
      <c r="B29" s="18">
        <v>22290723</v>
      </c>
      <c r="C29" s="18" t="s">
        <v>7421</v>
      </c>
      <c r="D29" s="18"/>
      <c r="E29" s="19">
        <v>52</v>
      </c>
      <c r="F29" s="18"/>
      <c r="G29" s="18" t="s">
        <v>6835</v>
      </c>
      <c r="H29" s="18" t="s">
        <v>7219</v>
      </c>
      <c r="I29" s="24">
        <v>40938</v>
      </c>
      <c r="J29" s="18" t="s">
        <v>11</v>
      </c>
      <c r="K29" s="18" t="s">
        <v>3264</v>
      </c>
      <c r="L29" s="18" t="s">
        <v>9102</v>
      </c>
      <c r="M29" s="18"/>
      <c r="N29" s="18" t="s">
        <v>10</v>
      </c>
      <c r="O29" s="18" t="s">
        <v>10</v>
      </c>
      <c r="P29" s="18" t="s">
        <v>9103</v>
      </c>
      <c r="Q29" s="18" t="s">
        <v>9104</v>
      </c>
      <c r="R29" s="18" t="s">
        <v>9105</v>
      </c>
      <c r="S29" s="1" t="s">
        <v>6242</v>
      </c>
      <c r="T29" s="1">
        <f t="shared" si="0"/>
        <v>8057</v>
      </c>
      <c r="U29" s="1">
        <f t="shared" si="1"/>
        <v>4275</v>
      </c>
      <c r="X29" s="1">
        <v>4275</v>
      </c>
      <c r="AH29" s="1">
        <f>SUM(AI29:AT29)</f>
        <v>3782</v>
      </c>
      <c r="AK29" s="1">
        <v>3782</v>
      </c>
    </row>
    <row r="30" spans="1:46" x14ac:dyDescent="0.2">
      <c r="A30" s="18" t="s">
        <v>1326</v>
      </c>
      <c r="B30" s="18">
        <v>22291604</v>
      </c>
      <c r="C30" s="18" t="s">
        <v>7421</v>
      </c>
      <c r="D30" s="18"/>
      <c r="E30" s="19">
        <v>29</v>
      </c>
      <c r="F30" s="18"/>
      <c r="G30" s="18" t="s">
        <v>218</v>
      </c>
      <c r="H30" s="18" t="s">
        <v>7376</v>
      </c>
      <c r="I30" s="24">
        <v>40934</v>
      </c>
      <c r="J30" s="18" t="s">
        <v>11</v>
      </c>
      <c r="K30" s="18" t="s">
        <v>65</v>
      </c>
      <c r="L30" s="18" t="s">
        <v>10595</v>
      </c>
      <c r="M30" s="18"/>
      <c r="N30" s="18" t="s">
        <v>10</v>
      </c>
      <c r="O30" s="18" t="s">
        <v>10</v>
      </c>
      <c r="P30" s="18" t="s">
        <v>10596</v>
      </c>
      <c r="Q30" s="18" t="s">
        <v>10597</v>
      </c>
      <c r="R30" s="18" t="s">
        <v>10598</v>
      </c>
      <c r="S30" s="1" t="s">
        <v>6242</v>
      </c>
      <c r="T30" s="1">
        <f t="shared" si="0"/>
        <v>32444</v>
      </c>
      <c r="U30" s="1">
        <f t="shared" si="1"/>
        <v>2493</v>
      </c>
      <c r="X30" s="1">
        <f>-891+3384</f>
        <v>2493</v>
      </c>
      <c r="AH30" s="1">
        <f>SUM(AI30:AT30)</f>
        <v>29951</v>
      </c>
      <c r="AK30" s="1">
        <f>1387+28564</f>
        <v>29951</v>
      </c>
    </row>
    <row r="31" spans="1:46" x14ac:dyDescent="0.2">
      <c r="A31" s="18" t="s">
        <v>9253</v>
      </c>
      <c r="B31" s="18">
        <v>22291609</v>
      </c>
      <c r="C31" s="18" t="s">
        <v>7421</v>
      </c>
      <c r="D31" s="18"/>
      <c r="E31" s="19">
        <v>262</v>
      </c>
      <c r="F31" s="18"/>
      <c r="G31" s="18" t="s">
        <v>9254</v>
      </c>
      <c r="H31" s="18" t="s">
        <v>9255</v>
      </c>
      <c r="I31" s="24">
        <v>40934</v>
      </c>
      <c r="J31" s="18" t="s">
        <v>11</v>
      </c>
      <c r="K31" s="18" t="s">
        <v>65</v>
      </c>
      <c r="L31" s="18" t="s">
        <v>9256</v>
      </c>
      <c r="M31" s="18"/>
      <c r="N31" s="18" t="s">
        <v>10</v>
      </c>
      <c r="O31" s="18" t="s">
        <v>10</v>
      </c>
      <c r="P31" s="18" t="s">
        <v>9257</v>
      </c>
      <c r="Q31" s="18" t="s">
        <v>9258</v>
      </c>
      <c r="R31" s="18" t="s">
        <v>9259</v>
      </c>
      <c r="S31" s="1" t="s">
        <v>6243</v>
      </c>
      <c r="T31" s="1">
        <f t="shared" si="0"/>
        <v>6086</v>
      </c>
      <c r="U31" s="1">
        <f t="shared" si="1"/>
        <v>4694</v>
      </c>
      <c r="V31" s="1">
        <v>4694</v>
      </c>
      <c r="AH31" s="1">
        <f>SUM(AI31:AT31)</f>
        <v>1392</v>
      </c>
      <c r="AI31" s="1">
        <v>1392</v>
      </c>
    </row>
    <row r="32" spans="1:46" x14ac:dyDescent="0.2">
      <c r="A32" s="18" t="s">
        <v>3194</v>
      </c>
      <c r="B32" s="18">
        <v>22293537</v>
      </c>
      <c r="C32" s="18" t="s">
        <v>7421</v>
      </c>
      <c r="D32" s="18"/>
      <c r="E32" s="19">
        <v>102</v>
      </c>
      <c r="F32" s="18"/>
      <c r="G32" s="18" t="s">
        <v>9096</v>
      </c>
      <c r="H32" s="18" t="s">
        <v>9097</v>
      </c>
      <c r="I32" s="24">
        <v>40937</v>
      </c>
      <c r="J32" s="18" t="s">
        <v>11</v>
      </c>
      <c r="K32" s="18" t="s">
        <v>294</v>
      </c>
      <c r="L32" s="18" t="s">
        <v>9098</v>
      </c>
      <c r="M32" s="18"/>
      <c r="N32" s="18" t="s">
        <v>10</v>
      </c>
      <c r="O32" s="18" t="s">
        <v>10</v>
      </c>
      <c r="P32" s="18" t="s">
        <v>9099</v>
      </c>
      <c r="Q32" s="18" t="s">
        <v>9100</v>
      </c>
      <c r="R32" s="18" t="s">
        <v>9101</v>
      </c>
      <c r="S32" s="1" t="s">
        <v>6242</v>
      </c>
      <c r="T32" s="1">
        <f t="shared" si="0"/>
        <v>174</v>
      </c>
      <c r="U32" s="1">
        <f t="shared" si="1"/>
        <v>79</v>
      </c>
      <c r="X32" s="1">
        <f>21+58</f>
        <v>79</v>
      </c>
      <c r="AH32" s="1">
        <f>SUM(AI32:AT32)</f>
        <v>95</v>
      </c>
      <c r="AK32" s="1">
        <f>33+62</f>
        <v>95</v>
      </c>
    </row>
    <row r="33" spans="1:46" x14ac:dyDescent="0.2">
      <c r="A33" s="18" t="s">
        <v>1799</v>
      </c>
      <c r="B33" s="18">
        <v>22293688</v>
      </c>
      <c r="C33" s="18" t="s">
        <v>7421</v>
      </c>
      <c r="D33" s="18"/>
      <c r="E33" s="19">
        <v>4</v>
      </c>
      <c r="F33" s="18"/>
      <c r="G33" s="18" t="s">
        <v>7099</v>
      </c>
      <c r="H33" s="18" t="s">
        <v>7388</v>
      </c>
      <c r="I33" s="24">
        <v>40940</v>
      </c>
      <c r="J33" s="18" t="s">
        <v>11</v>
      </c>
      <c r="K33" s="18" t="s">
        <v>592</v>
      </c>
      <c r="L33" s="18" t="s">
        <v>9666</v>
      </c>
      <c r="M33" s="18"/>
      <c r="N33" s="18" t="s">
        <v>10</v>
      </c>
      <c r="O33" s="18" t="s">
        <v>10</v>
      </c>
      <c r="P33" s="18" t="s">
        <v>9667</v>
      </c>
      <c r="Q33" s="18" t="s">
        <v>33</v>
      </c>
      <c r="R33" s="18" t="s">
        <v>10952</v>
      </c>
      <c r="S33" s="1" t="s">
        <v>6243</v>
      </c>
      <c r="T33" s="1">
        <f t="shared" si="0"/>
        <v>16179</v>
      </c>
      <c r="U33" s="1">
        <f t="shared" si="1"/>
        <v>16179</v>
      </c>
      <c r="V33" s="1">
        <v>16179</v>
      </c>
    </row>
    <row r="34" spans="1:46" x14ac:dyDescent="0.2">
      <c r="A34" s="18" t="s">
        <v>7438</v>
      </c>
      <c r="B34" s="18">
        <v>22295056</v>
      </c>
      <c r="C34" s="18" t="s">
        <v>7421</v>
      </c>
      <c r="D34" s="18"/>
      <c r="E34" s="19">
        <v>28574</v>
      </c>
      <c r="F34" s="18"/>
      <c r="G34" s="18" t="s">
        <v>7439</v>
      </c>
      <c r="H34" s="18" t="s">
        <v>7440</v>
      </c>
      <c r="I34" s="24">
        <v>40933</v>
      </c>
      <c r="J34" s="18" t="s">
        <v>11</v>
      </c>
      <c r="K34" s="18" t="s">
        <v>181</v>
      </c>
      <c r="L34" s="18" t="s">
        <v>7441</v>
      </c>
      <c r="M34" s="18"/>
      <c r="N34" s="18" t="s">
        <v>10</v>
      </c>
      <c r="O34" s="18" t="s">
        <v>10</v>
      </c>
      <c r="P34" s="18" t="s">
        <v>7442</v>
      </c>
      <c r="Q34" s="18" t="s">
        <v>7443</v>
      </c>
      <c r="R34" s="18" t="s">
        <v>7444</v>
      </c>
      <c r="S34" s="1" t="s">
        <v>6243</v>
      </c>
      <c r="T34" s="1">
        <f t="shared" si="0"/>
        <v>3361</v>
      </c>
      <c r="U34" s="1">
        <f t="shared" si="1"/>
        <v>2866</v>
      </c>
      <c r="V34" s="1">
        <v>2866</v>
      </c>
      <c r="AH34" s="1">
        <f>SUM(AI34:AT34)</f>
        <v>495</v>
      </c>
      <c r="AI34" s="1">
        <f>212+283</f>
        <v>495</v>
      </c>
    </row>
    <row r="35" spans="1:46" x14ac:dyDescent="0.2">
      <c r="A35" s="18" t="s">
        <v>1646</v>
      </c>
      <c r="B35" s="18">
        <v>22306650</v>
      </c>
      <c r="C35" s="18" t="s">
        <v>7421</v>
      </c>
      <c r="D35" s="18"/>
      <c r="E35" s="19">
        <v>50</v>
      </c>
      <c r="F35" s="18"/>
      <c r="G35" s="18" t="s">
        <v>1647</v>
      </c>
      <c r="H35" s="18" t="s">
        <v>7123</v>
      </c>
      <c r="I35" s="24">
        <v>40944</v>
      </c>
      <c r="J35" s="18" t="s">
        <v>11</v>
      </c>
      <c r="K35" s="18" t="s">
        <v>28</v>
      </c>
      <c r="L35" s="18" t="s">
        <v>10730</v>
      </c>
      <c r="M35" s="18"/>
      <c r="N35" s="18" t="s">
        <v>10</v>
      </c>
      <c r="O35" s="18" t="s">
        <v>10</v>
      </c>
      <c r="P35" s="18" t="s">
        <v>10731</v>
      </c>
      <c r="Q35" s="18" t="s">
        <v>10732</v>
      </c>
      <c r="R35" s="18" t="s">
        <v>10733</v>
      </c>
      <c r="S35" s="1" t="s">
        <v>6244</v>
      </c>
      <c r="T35" s="1">
        <f t="shared" si="0"/>
        <v>22677</v>
      </c>
      <c r="U35" s="1">
        <f t="shared" si="1"/>
        <v>3176</v>
      </c>
      <c r="W35" s="1">
        <f>1329+1847</f>
        <v>3176</v>
      </c>
      <c r="AH35" s="1">
        <f>SUM(AI35:AT35)</f>
        <v>19501</v>
      </c>
      <c r="AI35" s="1">
        <f>4441+5874</f>
        <v>10315</v>
      </c>
      <c r="AJ35" s="1">
        <f>817+3805+1207+1349</f>
        <v>7178</v>
      </c>
      <c r="AT35" s="1">
        <f>1025+983</f>
        <v>2008</v>
      </c>
    </row>
    <row r="36" spans="1:46" x14ac:dyDescent="0.2">
      <c r="A36" s="18" t="s">
        <v>10573</v>
      </c>
      <c r="B36" s="18">
        <v>22306652</v>
      </c>
      <c r="C36" s="18" t="s">
        <v>7421</v>
      </c>
      <c r="D36" s="18"/>
      <c r="E36" s="19">
        <v>49</v>
      </c>
      <c r="F36" s="18"/>
      <c r="G36" s="18" t="s">
        <v>10574</v>
      </c>
      <c r="H36" s="18" t="s">
        <v>7170</v>
      </c>
      <c r="I36" s="24">
        <v>40944</v>
      </c>
      <c r="J36" s="18" t="s">
        <v>11</v>
      </c>
      <c r="K36" s="18" t="s">
        <v>28</v>
      </c>
      <c r="L36" s="18" t="s">
        <v>10575</v>
      </c>
      <c r="M36" s="18"/>
      <c r="N36" s="18" t="s">
        <v>10</v>
      </c>
      <c r="O36" s="18" t="s">
        <v>10</v>
      </c>
      <c r="P36" s="18" t="s">
        <v>10576</v>
      </c>
      <c r="Q36" s="18" t="s">
        <v>10577</v>
      </c>
      <c r="R36" s="18" t="s">
        <v>10578</v>
      </c>
      <c r="S36" s="1" t="s">
        <v>6243</v>
      </c>
      <c r="T36" s="1">
        <f t="shared" si="0"/>
        <v>50978</v>
      </c>
      <c r="U36" s="1">
        <f t="shared" si="1"/>
        <v>9520</v>
      </c>
      <c r="V36" s="1">
        <f>3548+5972</f>
        <v>9520</v>
      </c>
      <c r="AH36" s="1">
        <f>SUM(AI36:AT36)</f>
        <v>41458</v>
      </c>
      <c r="AI36" s="1">
        <f>6594+34864</f>
        <v>41458</v>
      </c>
    </row>
    <row r="37" spans="1:46" x14ac:dyDescent="0.2">
      <c r="A37" s="18" t="s">
        <v>9271</v>
      </c>
      <c r="B37" s="18">
        <v>22306654</v>
      </c>
      <c r="C37" s="18" t="s">
        <v>7421</v>
      </c>
      <c r="D37" s="18"/>
      <c r="E37" s="19">
        <v>308</v>
      </c>
      <c r="F37" s="18"/>
      <c r="G37" s="18" t="s">
        <v>9272</v>
      </c>
      <c r="H37" s="18" t="s">
        <v>9273</v>
      </c>
      <c r="I37" s="24">
        <v>40944</v>
      </c>
      <c r="J37" s="18" t="s">
        <v>11</v>
      </c>
      <c r="K37" s="18" t="s">
        <v>28</v>
      </c>
      <c r="L37" s="18" t="s">
        <v>9274</v>
      </c>
      <c r="M37" s="18"/>
      <c r="N37" s="18" t="s">
        <v>10</v>
      </c>
      <c r="O37" s="18" t="s">
        <v>10</v>
      </c>
      <c r="P37" s="18" t="s">
        <v>9275</v>
      </c>
      <c r="Q37" s="18" t="s">
        <v>9276</v>
      </c>
      <c r="R37" s="18" t="s">
        <v>9277</v>
      </c>
      <c r="S37" s="1" t="s">
        <v>6243</v>
      </c>
      <c r="T37" s="1">
        <f t="shared" si="0"/>
        <v>5074</v>
      </c>
      <c r="U37" s="1">
        <f t="shared" si="1"/>
        <v>3402</v>
      </c>
      <c r="V37" s="1">
        <f>1001+2401</f>
        <v>3402</v>
      </c>
      <c r="AH37" s="1">
        <f>SUM(AI37:AT37)</f>
        <v>1672</v>
      </c>
      <c r="AI37" s="1">
        <f>796+876</f>
        <v>1672</v>
      </c>
    </row>
    <row r="38" spans="1:46" x14ac:dyDescent="0.2">
      <c r="A38" s="18" t="s">
        <v>8422</v>
      </c>
      <c r="B38" s="18">
        <v>22310351</v>
      </c>
      <c r="C38" s="18" t="s">
        <v>7421</v>
      </c>
      <c r="D38" s="18"/>
      <c r="E38" s="19">
        <v>53</v>
      </c>
      <c r="F38" s="18"/>
      <c r="G38" s="18" t="s">
        <v>10697</v>
      </c>
      <c r="H38" s="18" t="s">
        <v>10698</v>
      </c>
      <c r="I38" s="24">
        <v>40946</v>
      </c>
      <c r="J38" s="18" t="s">
        <v>11</v>
      </c>
      <c r="K38" s="18" t="s">
        <v>113</v>
      </c>
      <c r="L38" s="18" t="s">
        <v>10699</v>
      </c>
      <c r="M38" s="18"/>
      <c r="N38" s="18" t="s">
        <v>10</v>
      </c>
      <c r="O38" s="18" t="s">
        <v>10</v>
      </c>
      <c r="P38" s="18" t="s">
        <v>10700</v>
      </c>
      <c r="Q38" s="18" t="s">
        <v>10701</v>
      </c>
      <c r="R38" s="18" t="s">
        <v>10702</v>
      </c>
      <c r="S38" s="1" t="s">
        <v>6243</v>
      </c>
      <c r="T38" s="1">
        <f t="shared" si="0"/>
        <v>994</v>
      </c>
      <c r="U38" s="1">
        <f t="shared" si="1"/>
        <v>203</v>
      </c>
      <c r="V38" s="1">
        <v>203</v>
      </c>
      <c r="AH38" s="1">
        <f>SUM(AI38:AT38)</f>
        <v>791</v>
      </c>
      <c r="AI38" s="1">
        <v>791</v>
      </c>
    </row>
    <row r="39" spans="1:46" x14ac:dyDescent="0.2">
      <c r="A39" s="18" t="s">
        <v>10713</v>
      </c>
      <c r="B39" s="18">
        <v>22310353</v>
      </c>
      <c r="C39" s="18" t="s">
        <v>7421</v>
      </c>
      <c r="D39" s="18"/>
      <c r="E39" s="19">
        <v>89</v>
      </c>
      <c r="F39" s="18"/>
      <c r="G39" s="18" t="s">
        <v>10714</v>
      </c>
      <c r="H39" s="18" t="s">
        <v>10715</v>
      </c>
      <c r="I39" s="24">
        <v>40946</v>
      </c>
      <c r="J39" s="18" t="s">
        <v>11</v>
      </c>
      <c r="K39" s="18" t="s">
        <v>113</v>
      </c>
      <c r="L39" s="18" t="s">
        <v>10716</v>
      </c>
      <c r="M39" s="18"/>
      <c r="N39" s="18" t="s">
        <v>10</v>
      </c>
      <c r="O39" s="18" t="s">
        <v>10</v>
      </c>
      <c r="P39" s="18" t="s">
        <v>10717</v>
      </c>
      <c r="Q39" s="18" t="s">
        <v>33</v>
      </c>
      <c r="R39" s="18" t="s">
        <v>10718</v>
      </c>
      <c r="S39" s="1" t="s">
        <v>6244</v>
      </c>
      <c r="T39" s="1">
        <f t="shared" si="0"/>
        <v>1446</v>
      </c>
      <c r="U39" s="1">
        <f t="shared" si="1"/>
        <v>1446</v>
      </c>
      <c r="AD39" s="1">
        <v>1446</v>
      </c>
    </row>
    <row r="40" spans="1:46" x14ac:dyDescent="0.2">
      <c r="A40" s="18" t="s">
        <v>1749</v>
      </c>
      <c r="B40" s="18">
        <v>22318345</v>
      </c>
      <c r="C40" s="18" t="s">
        <v>7421</v>
      </c>
      <c r="D40" s="18"/>
      <c r="E40" s="19">
        <v>143</v>
      </c>
      <c r="F40" s="18"/>
      <c r="G40" s="18" t="s">
        <v>8888</v>
      </c>
      <c r="H40" s="18" t="s">
        <v>8889</v>
      </c>
      <c r="I40" s="24">
        <v>40948</v>
      </c>
      <c r="J40" s="18" t="s">
        <v>11</v>
      </c>
      <c r="K40" s="18" t="s">
        <v>689</v>
      </c>
      <c r="L40" s="18" t="s">
        <v>8890</v>
      </c>
      <c r="M40" s="18"/>
      <c r="N40" s="18" t="s">
        <v>10</v>
      </c>
      <c r="O40" s="18" t="s">
        <v>10</v>
      </c>
      <c r="P40" s="18" t="s">
        <v>8891</v>
      </c>
      <c r="Q40" s="18" t="s">
        <v>8892</v>
      </c>
      <c r="R40" s="18" t="s">
        <v>8893</v>
      </c>
      <c r="S40" s="1" t="s">
        <v>6242</v>
      </c>
      <c r="T40" s="1">
        <f t="shared" si="0"/>
        <v>1835</v>
      </c>
      <c r="U40" s="1">
        <f t="shared" si="1"/>
        <v>907</v>
      </c>
      <c r="X40" s="1">
        <f>41+866</f>
        <v>907</v>
      </c>
      <c r="AH40" s="1">
        <f>SUM(AI40:AT40)</f>
        <v>928</v>
      </c>
      <c r="AK40" s="1">
        <f>30+898</f>
        <v>928</v>
      </c>
    </row>
    <row r="41" spans="1:46" x14ac:dyDescent="0.2">
      <c r="A41" s="18" t="s">
        <v>2620</v>
      </c>
      <c r="B41" s="18">
        <v>22319020</v>
      </c>
      <c r="C41" s="18" t="s">
        <v>7421</v>
      </c>
      <c r="D41" s="18"/>
      <c r="E41" s="19">
        <v>37</v>
      </c>
      <c r="F41" s="18"/>
      <c r="G41" s="18" t="s">
        <v>165</v>
      </c>
      <c r="H41" s="18" t="s">
        <v>7192</v>
      </c>
      <c r="I41" s="24">
        <v>40946</v>
      </c>
      <c r="J41" s="18" t="s">
        <v>11</v>
      </c>
      <c r="K41" s="18" t="s">
        <v>551</v>
      </c>
      <c r="L41" s="18" t="s">
        <v>8504</v>
      </c>
      <c r="M41" s="18"/>
      <c r="N41" s="18" t="s">
        <v>10</v>
      </c>
      <c r="O41" s="18" t="s">
        <v>10</v>
      </c>
      <c r="P41" s="18" t="s">
        <v>8505</v>
      </c>
      <c r="Q41" s="18" t="s">
        <v>8506</v>
      </c>
      <c r="R41" s="18" t="s">
        <v>8507</v>
      </c>
      <c r="S41" s="1" t="s">
        <v>6243</v>
      </c>
      <c r="T41" s="1">
        <f t="shared" si="0"/>
        <v>24981</v>
      </c>
      <c r="U41" s="1">
        <f t="shared" si="1"/>
        <v>13949</v>
      </c>
      <c r="V41" s="1">
        <f>7123+6826</f>
        <v>13949</v>
      </c>
      <c r="AH41" s="1">
        <f>SUM(AI41:AT41)</f>
        <v>11032</v>
      </c>
      <c r="AI41" s="1">
        <f>5211+5821</f>
        <v>11032</v>
      </c>
    </row>
    <row r="42" spans="1:46" x14ac:dyDescent="0.2">
      <c r="A42" s="18" t="s">
        <v>10094</v>
      </c>
      <c r="B42" s="18">
        <v>22321639</v>
      </c>
      <c r="C42" s="18" t="s">
        <v>7421</v>
      </c>
      <c r="D42" s="18"/>
      <c r="E42" s="19">
        <v>10</v>
      </c>
      <c r="F42" s="18"/>
      <c r="G42" s="18" t="s">
        <v>10095</v>
      </c>
      <c r="H42" s="18" t="s">
        <v>6682</v>
      </c>
      <c r="I42" s="24">
        <v>40946</v>
      </c>
      <c r="J42" s="18" t="s">
        <v>11</v>
      </c>
      <c r="K42" s="18" t="s">
        <v>10096</v>
      </c>
      <c r="L42" s="18" t="s">
        <v>10097</v>
      </c>
      <c r="M42" s="18"/>
      <c r="N42" s="18" t="s">
        <v>11</v>
      </c>
      <c r="O42" s="18" t="s">
        <v>11</v>
      </c>
      <c r="P42" s="18" t="s">
        <v>10098</v>
      </c>
      <c r="Q42" s="18" t="s">
        <v>10099</v>
      </c>
      <c r="R42" s="18" t="s">
        <v>10957</v>
      </c>
      <c r="S42" s="1" t="s">
        <v>6242</v>
      </c>
      <c r="T42" s="1">
        <f t="shared" si="0"/>
        <v>364</v>
      </c>
      <c r="U42" s="1">
        <f t="shared" si="1"/>
        <v>48</v>
      </c>
      <c r="X42" s="1">
        <v>48</v>
      </c>
      <c r="AH42" s="1">
        <f>SUM(AI42:AT42)</f>
        <v>316</v>
      </c>
      <c r="AK42" s="1">
        <f>98+218</f>
        <v>316</v>
      </c>
    </row>
    <row r="43" spans="1:46" x14ac:dyDescent="0.2">
      <c r="A43" s="18" t="s">
        <v>1135</v>
      </c>
      <c r="B43" s="18">
        <v>22322875</v>
      </c>
      <c r="C43" s="18" t="s">
        <v>7421</v>
      </c>
      <c r="D43" s="18"/>
      <c r="E43" s="19">
        <v>18</v>
      </c>
      <c r="F43" s="18"/>
      <c r="G43" s="18" t="s">
        <v>9200</v>
      </c>
      <c r="H43" s="18" t="s">
        <v>9201</v>
      </c>
      <c r="I43" s="24">
        <v>40948</v>
      </c>
      <c r="J43" s="18" t="s">
        <v>11</v>
      </c>
      <c r="K43" s="18" t="s">
        <v>830</v>
      </c>
      <c r="L43" s="18" t="s">
        <v>9202</v>
      </c>
      <c r="M43" s="18"/>
      <c r="N43" s="18" t="s">
        <v>10</v>
      </c>
      <c r="O43" s="18" t="s">
        <v>10</v>
      </c>
      <c r="P43" s="18" t="s">
        <v>9203</v>
      </c>
      <c r="Q43" s="18" t="s">
        <v>33</v>
      </c>
      <c r="R43" s="18" t="s">
        <v>9204</v>
      </c>
      <c r="S43" s="1" t="s">
        <v>6242</v>
      </c>
      <c r="T43" s="1">
        <f t="shared" si="0"/>
        <v>4965</v>
      </c>
      <c r="U43" s="1">
        <f t="shared" si="1"/>
        <v>4965</v>
      </c>
      <c r="X43" s="1">
        <v>4965</v>
      </c>
    </row>
    <row r="44" spans="1:46" x14ac:dyDescent="0.2">
      <c r="A44" s="18" t="s">
        <v>1777</v>
      </c>
      <c r="B44" s="18">
        <v>22323360</v>
      </c>
      <c r="C44" s="18" t="s">
        <v>7421</v>
      </c>
      <c r="D44" s="18"/>
      <c r="E44" s="19">
        <v>46</v>
      </c>
      <c r="F44" s="18"/>
      <c r="G44" s="18" t="s">
        <v>6958</v>
      </c>
      <c r="H44" s="18" t="s">
        <v>6959</v>
      </c>
      <c r="I44" s="24">
        <v>40947</v>
      </c>
      <c r="J44" s="18" t="s">
        <v>10</v>
      </c>
      <c r="K44" s="18" t="s">
        <v>103</v>
      </c>
      <c r="L44" s="18" t="s">
        <v>8768</v>
      </c>
      <c r="M44" s="18"/>
      <c r="N44" s="18" t="s">
        <v>10</v>
      </c>
      <c r="O44" s="18" t="s">
        <v>10</v>
      </c>
      <c r="P44" s="18" t="s">
        <v>8769</v>
      </c>
      <c r="Q44" s="18" t="s">
        <v>33</v>
      </c>
      <c r="R44" s="18" t="s">
        <v>8770</v>
      </c>
      <c r="S44" s="1" t="s">
        <v>6242</v>
      </c>
      <c r="T44" s="1">
        <f t="shared" si="0"/>
        <v>6361</v>
      </c>
      <c r="U44" s="1">
        <f t="shared" si="1"/>
        <v>6361</v>
      </c>
      <c r="X44" s="1">
        <f>2961+3400</f>
        <v>6361</v>
      </c>
    </row>
    <row r="45" spans="1:46" x14ac:dyDescent="0.2">
      <c r="A45" s="18" t="s">
        <v>1278</v>
      </c>
      <c r="B45" s="18">
        <v>22325160</v>
      </c>
      <c r="C45" s="18" t="s">
        <v>7421</v>
      </c>
      <c r="D45" s="18"/>
      <c r="E45" s="19">
        <v>74</v>
      </c>
      <c r="F45" s="18"/>
      <c r="G45" s="18" t="s">
        <v>61</v>
      </c>
      <c r="H45" s="18" t="s">
        <v>7396</v>
      </c>
      <c r="I45" s="24">
        <v>40947</v>
      </c>
      <c r="J45" s="18" t="s">
        <v>10</v>
      </c>
      <c r="K45" s="18" t="s">
        <v>16</v>
      </c>
      <c r="L45" s="18" t="s">
        <v>10762</v>
      </c>
      <c r="M45" s="18"/>
      <c r="N45" s="18" t="s">
        <v>10</v>
      </c>
      <c r="O45" s="18" t="s">
        <v>10</v>
      </c>
      <c r="P45" s="18" t="s">
        <v>10763</v>
      </c>
      <c r="Q45" s="18" t="s">
        <v>10764</v>
      </c>
      <c r="R45" s="18" t="s">
        <v>8503</v>
      </c>
      <c r="S45" s="1" t="s">
        <v>6244</v>
      </c>
      <c r="T45" s="1">
        <f t="shared" si="0"/>
        <v>134833</v>
      </c>
      <c r="U45" s="1">
        <f t="shared" si="1"/>
        <v>71562</v>
      </c>
      <c r="AE45" s="1">
        <f>14073+57489</f>
        <v>71562</v>
      </c>
      <c r="AH45" s="1">
        <f>SUM(AI45:AT45)</f>
        <v>63271</v>
      </c>
      <c r="AI45" s="1">
        <f>8130+38987</f>
        <v>47117</v>
      </c>
      <c r="AJ45" s="1">
        <f>1986+7695</f>
        <v>9681</v>
      </c>
      <c r="AK45" s="1">
        <f>767+3704</f>
        <v>4471</v>
      </c>
      <c r="AM45" s="1">
        <f>592+1410</f>
        <v>2002</v>
      </c>
    </row>
    <row r="46" spans="1:46" x14ac:dyDescent="0.2">
      <c r="A46" s="18" t="s">
        <v>8790</v>
      </c>
      <c r="B46" s="18">
        <v>22327514</v>
      </c>
      <c r="C46" s="18" t="s">
        <v>7421</v>
      </c>
      <c r="D46" s="18"/>
      <c r="E46" s="19">
        <v>14</v>
      </c>
      <c r="F46" s="18"/>
      <c r="G46" s="18" t="s">
        <v>8791</v>
      </c>
      <c r="H46" s="18" t="s">
        <v>8792</v>
      </c>
      <c r="I46" s="24">
        <v>40951</v>
      </c>
      <c r="J46" s="18" t="s">
        <v>11</v>
      </c>
      <c r="K46" s="18" t="s">
        <v>28</v>
      </c>
      <c r="L46" s="18" t="s">
        <v>8793</v>
      </c>
      <c r="M46" s="18"/>
      <c r="N46" s="18" t="s">
        <v>10</v>
      </c>
      <c r="O46" s="18" t="s">
        <v>10</v>
      </c>
      <c r="P46" s="18" t="s">
        <v>8794</v>
      </c>
      <c r="Q46" s="18" t="s">
        <v>8795</v>
      </c>
      <c r="R46" s="18" t="s">
        <v>10935</v>
      </c>
      <c r="S46" s="1" t="s">
        <v>6243</v>
      </c>
      <c r="T46" s="1">
        <f t="shared" si="0"/>
        <v>6739</v>
      </c>
      <c r="U46" s="1">
        <f t="shared" si="1"/>
        <v>4779</v>
      </c>
      <c r="V46" s="1">
        <f>427+4352</f>
        <v>4779</v>
      </c>
      <c r="AH46" s="1">
        <f>SUM(AI46:AT46)</f>
        <v>1960</v>
      </c>
      <c r="AI46" s="1">
        <f>661+1299</f>
        <v>1960</v>
      </c>
    </row>
    <row r="47" spans="1:46" x14ac:dyDescent="0.2">
      <c r="A47" s="18" t="s">
        <v>10322</v>
      </c>
      <c r="B47" s="18">
        <v>22331829</v>
      </c>
      <c r="C47" s="18" t="s">
        <v>7421</v>
      </c>
      <c r="D47" s="18"/>
      <c r="E47" s="19">
        <v>36</v>
      </c>
      <c r="F47" s="18"/>
      <c r="G47" s="18" t="s">
        <v>10323</v>
      </c>
      <c r="H47" s="18" t="s">
        <v>7312</v>
      </c>
      <c r="I47" s="24">
        <v>40952</v>
      </c>
      <c r="J47" s="18" t="s">
        <v>11</v>
      </c>
      <c r="K47" s="18" t="s">
        <v>551</v>
      </c>
      <c r="L47" s="18" t="s">
        <v>10324</v>
      </c>
      <c r="M47" s="18"/>
      <c r="N47" s="18" t="s">
        <v>10</v>
      </c>
      <c r="O47" s="18" t="s">
        <v>10</v>
      </c>
      <c r="P47" s="18" t="s">
        <v>10325</v>
      </c>
      <c r="Q47" s="18" t="s">
        <v>33</v>
      </c>
      <c r="R47" s="18" t="s">
        <v>10326</v>
      </c>
      <c r="S47" s="1" t="s">
        <v>6243</v>
      </c>
      <c r="T47" s="1">
        <f t="shared" si="0"/>
        <v>6989</v>
      </c>
      <c r="U47" s="1">
        <f t="shared" si="1"/>
        <v>6989</v>
      </c>
      <c r="V47" s="1">
        <v>6989</v>
      </c>
    </row>
    <row r="48" spans="1:46" x14ac:dyDescent="0.2">
      <c r="A48" s="18" t="s">
        <v>1987</v>
      </c>
      <c r="B48" s="18">
        <v>22341974</v>
      </c>
      <c r="C48" s="18" t="s">
        <v>7421</v>
      </c>
      <c r="D48" s="18"/>
      <c r="E48" s="19">
        <v>214</v>
      </c>
      <c r="F48" s="18"/>
      <c r="G48" s="18" t="s">
        <v>9707</v>
      </c>
      <c r="H48" s="18" t="s">
        <v>9708</v>
      </c>
      <c r="I48" s="24">
        <v>40955</v>
      </c>
      <c r="J48" s="18" t="s">
        <v>11</v>
      </c>
      <c r="K48" s="18" t="s">
        <v>16</v>
      </c>
      <c r="L48" s="18" t="s">
        <v>9709</v>
      </c>
      <c r="M48" s="18"/>
      <c r="N48" s="18" t="s">
        <v>10</v>
      </c>
      <c r="O48" s="18" t="s">
        <v>10</v>
      </c>
      <c r="P48" s="18" t="s">
        <v>9710</v>
      </c>
      <c r="Q48" s="18" t="s">
        <v>9711</v>
      </c>
      <c r="R48" s="18" t="s">
        <v>8278</v>
      </c>
      <c r="S48" s="1" t="s">
        <v>6243</v>
      </c>
      <c r="T48" s="1">
        <f t="shared" si="0"/>
        <v>3807</v>
      </c>
      <c r="U48" s="1">
        <f t="shared" si="1"/>
        <v>2185</v>
      </c>
      <c r="V48" s="1">
        <v>2185</v>
      </c>
      <c r="AH48" s="1">
        <f t="shared" ref="AH48:AH53" si="2">SUM(AI48:AT48)</f>
        <v>1622</v>
      </c>
      <c r="AI48" s="1">
        <v>1622</v>
      </c>
    </row>
    <row r="49" spans="1:44" x14ac:dyDescent="0.2">
      <c r="A49" s="18" t="s">
        <v>8709</v>
      </c>
      <c r="B49" s="18">
        <v>22342860</v>
      </c>
      <c r="C49" s="18" t="s">
        <v>7421</v>
      </c>
      <c r="D49" s="18"/>
      <c r="E49" s="19">
        <v>2</v>
      </c>
      <c r="F49" s="18"/>
      <c r="G49" s="18" t="s">
        <v>8710</v>
      </c>
      <c r="H49" s="18" t="s">
        <v>7252</v>
      </c>
      <c r="I49" s="24">
        <v>40954</v>
      </c>
      <c r="J49" s="18" t="s">
        <v>11</v>
      </c>
      <c r="K49" s="18" t="s">
        <v>748</v>
      </c>
      <c r="L49" s="18" t="s">
        <v>8711</v>
      </c>
      <c r="M49" s="18"/>
      <c r="N49" s="18" t="s">
        <v>10</v>
      </c>
      <c r="O49" s="18" t="s">
        <v>10</v>
      </c>
      <c r="P49" s="18" t="s">
        <v>8712</v>
      </c>
      <c r="Q49" s="18" t="s">
        <v>8713</v>
      </c>
      <c r="R49" s="18" t="s">
        <v>8714</v>
      </c>
      <c r="S49" s="1" t="s">
        <v>6243</v>
      </c>
      <c r="T49" s="1">
        <f t="shared" si="0"/>
        <v>5615</v>
      </c>
      <c r="U49" s="1">
        <f t="shared" si="1"/>
        <v>1870</v>
      </c>
      <c r="V49" s="1">
        <v>1870</v>
      </c>
      <c r="AH49" s="1">
        <f t="shared" si="2"/>
        <v>3745</v>
      </c>
      <c r="AI49" s="1">
        <v>3745</v>
      </c>
    </row>
    <row r="50" spans="1:44" x14ac:dyDescent="0.2">
      <c r="A50" s="18" t="s">
        <v>2598</v>
      </c>
      <c r="B50" s="18">
        <v>22343285</v>
      </c>
      <c r="C50" s="18" t="s">
        <v>7421</v>
      </c>
      <c r="D50" s="18"/>
      <c r="E50" s="19">
        <v>13</v>
      </c>
      <c r="F50" s="18"/>
      <c r="G50" s="18" t="s">
        <v>10860</v>
      </c>
      <c r="H50" s="18" t="s">
        <v>10861</v>
      </c>
      <c r="I50" s="24">
        <v>40955</v>
      </c>
      <c r="J50" s="18" t="s">
        <v>11</v>
      </c>
      <c r="K50" s="18" t="s">
        <v>210</v>
      </c>
      <c r="L50" s="18" t="s">
        <v>10862</v>
      </c>
      <c r="M50" s="18"/>
      <c r="N50" s="18" t="s">
        <v>10</v>
      </c>
      <c r="O50" s="18" t="s">
        <v>10</v>
      </c>
      <c r="P50" s="18" t="s">
        <v>10863</v>
      </c>
      <c r="Q50" s="18" t="s">
        <v>10864</v>
      </c>
      <c r="R50" s="18" t="s">
        <v>10865</v>
      </c>
      <c r="S50" s="1" t="s">
        <v>6243</v>
      </c>
      <c r="T50" s="1">
        <f t="shared" si="0"/>
        <v>1181</v>
      </c>
      <c r="U50" s="1">
        <f t="shared" si="1"/>
        <v>421</v>
      </c>
      <c r="V50" s="1">
        <v>421</v>
      </c>
      <c r="AH50" s="1">
        <f t="shared" si="2"/>
        <v>760</v>
      </c>
      <c r="AI50" s="1">
        <v>760</v>
      </c>
    </row>
    <row r="51" spans="1:44" x14ac:dyDescent="0.2">
      <c r="A51" s="18" t="s">
        <v>2437</v>
      </c>
      <c r="B51" s="18">
        <v>22344219</v>
      </c>
      <c r="C51" s="18" t="s">
        <v>7421</v>
      </c>
      <c r="D51" s="18"/>
      <c r="E51" s="19">
        <v>60</v>
      </c>
      <c r="F51" s="18"/>
      <c r="G51" s="18" t="s">
        <v>370</v>
      </c>
      <c r="H51" s="18" t="s">
        <v>7229</v>
      </c>
      <c r="I51" s="24">
        <v>40958</v>
      </c>
      <c r="J51" s="18" t="s">
        <v>11</v>
      </c>
      <c r="K51" s="18" t="s">
        <v>28</v>
      </c>
      <c r="L51" s="18" t="s">
        <v>8043</v>
      </c>
      <c r="M51" s="18"/>
      <c r="N51" s="18" t="s">
        <v>10</v>
      </c>
      <c r="O51" s="18" t="s">
        <v>10</v>
      </c>
      <c r="P51" s="18" t="s">
        <v>8044</v>
      </c>
      <c r="Q51" s="18" t="s">
        <v>8045</v>
      </c>
      <c r="R51" s="18" t="s">
        <v>8046</v>
      </c>
      <c r="S51" s="1" t="s">
        <v>6242</v>
      </c>
      <c r="T51" s="1">
        <f t="shared" si="0"/>
        <v>83028</v>
      </c>
      <c r="U51" s="1">
        <f t="shared" si="1"/>
        <v>27715</v>
      </c>
      <c r="X51" s="1">
        <f>7739+2194+8838+2522+1999+1992+2431</f>
        <v>27715</v>
      </c>
      <c r="AH51" s="1">
        <f t="shared" si="2"/>
        <v>55313</v>
      </c>
      <c r="AK51" s="1">
        <f>34779+14628+1006+2782+2118</f>
        <v>55313</v>
      </c>
    </row>
    <row r="52" spans="1:44" x14ac:dyDescent="0.2">
      <c r="A52" s="18" t="s">
        <v>1326</v>
      </c>
      <c r="B52" s="18">
        <v>22344221</v>
      </c>
      <c r="C52" s="18" t="s">
        <v>7421</v>
      </c>
      <c r="D52" s="18"/>
      <c r="E52" s="19">
        <v>32</v>
      </c>
      <c r="F52" s="18"/>
      <c r="G52" s="18" t="s">
        <v>370</v>
      </c>
      <c r="H52" s="18" t="s">
        <v>7229</v>
      </c>
      <c r="I52" s="24">
        <v>40958</v>
      </c>
      <c r="J52" s="18" t="s">
        <v>11</v>
      </c>
      <c r="K52" s="18" t="s">
        <v>28</v>
      </c>
      <c r="L52" s="18" t="s">
        <v>8034</v>
      </c>
      <c r="M52" s="18"/>
      <c r="N52" s="18" t="s">
        <v>10</v>
      </c>
      <c r="O52" s="18" t="s">
        <v>10</v>
      </c>
      <c r="P52" s="18" t="s">
        <v>8035</v>
      </c>
      <c r="Q52" s="18" t="s">
        <v>8036</v>
      </c>
      <c r="R52" s="18" t="s">
        <v>8037</v>
      </c>
      <c r="S52" s="1" t="s">
        <v>6242</v>
      </c>
      <c r="T52" s="1">
        <f t="shared" si="0"/>
        <v>62245</v>
      </c>
      <c r="U52" s="1">
        <f t="shared" si="1"/>
        <v>26620</v>
      </c>
      <c r="X52" s="1">
        <v>26620</v>
      </c>
      <c r="AH52" s="1">
        <f t="shared" si="2"/>
        <v>35625</v>
      </c>
      <c r="AK52" s="1">
        <f>7910+27715</f>
        <v>35625</v>
      </c>
    </row>
    <row r="53" spans="1:44" x14ac:dyDescent="0.2">
      <c r="A53" s="18" t="s">
        <v>7768</v>
      </c>
      <c r="B53" s="18">
        <v>22354554</v>
      </c>
      <c r="C53" s="18" t="s">
        <v>7421</v>
      </c>
      <c r="D53" s="18"/>
      <c r="E53" s="19">
        <v>211</v>
      </c>
      <c r="F53" s="18"/>
      <c r="G53" s="18" t="s">
        <v>6855</v>
      </c>
      <c r="H53" s="18" t="s">
        <v>7337</v>
      </c>
      <c r="I53" s="24">
        <v>40960</v>
      </c>
      <c r="J53" s="18" t="s">
        <v>11</v>
      </c>
      <c r="K53" s="18" t="s">
        <v>462</v>
      </c>
      <c r="L53" s="18" t="s">
        <v>7769</v>
      </c>
      <c r="M53" s="18"/>
      <c r="N53" s="18" t="s">
        <v>10</v>
      </c>
      <c r="O53" s="18" t="s">
        <v>10</v>
      </c>
      <c r="P53" s="18" t="s">
        <v>7770</v>
      </c>
      <c r="Q53" s="18" t="s">
        <v>7771</v>
      </c>
      <c r="R53" s="18" t="s">
        <v>7772</v>
      </c>
      <c r="S53" s="1" t="s">
        <v>6243</v>
      </c>
      <c r="T53" s="1">
        <f t="shared" si="0"/>
        <v>12626</v>
      </c>
      <c r="U53" s="1">
        <f t="shared" si="1"/>
        <v>3872</v>
      </c>
      <c r="V53" s="1">
        <f>814+658+2400</f>
        <v>3872</v>
      </c>
      <c r="AH53" s="1">
        <f t="shared" si="2"/>
        <v>8754</v>
      </c>
      <c r="AI53" s="1">
        <f>1744+7010</f>
        <v>8754</v>
      </c>
    </row>
    <row r="54" spans="1:44" x14ac:dyDescent="0.2">
      <c r="A54" s="18" t="s">
        <v>2220</v>
      </c>
      <c r="B54" s="18">
        <v>22359512</v>
      </c>
      <c r="C54" s="18" t="s">
        <v>7421</v>
      </c>
      <c r="D54" s="18"/>
      <c r="E54" s="19">
        <v>915</v>
      </c>
      <c r="F54" s="18">
        <v>1</v>
      </c>
      <c r="G54" s="18" t="s">
        <v>8364</v>
      </c>
      <c r="H54" s="18" t="s">
        <v>8365</v>
      </c>
      <c r="I54" s="24">
        <v>40955</v>
      </c>
      <c r="J54" s="18" t="s">
        <v>11</v>
      </c>
      <c r="K54" s="18" t="s">
        <v>65</v>
      </c>
      <c r="L54" s="18" t="s">
        <v>8366</v>
      </c>
      <c r="M54" s="18"/>
      <c r="N54" s="18" t="s">
        <v>10</v>
      </c>
      <c r="O54" s="18" t="s">
        <v>10</v>
      </c>
      <c r="P54" s="18" t="s">
        <v>8367</v>
      </c>
      <c r="Q54" s="18" t="s">
        <v>33</v>
      </c>
      <c r="R54" s="18" t="s">
        <v>1780</v>
      </c>
      <c r="S54" s="1" t="s">
        <v>6243</v>
      </c>
      <c r="T54" s="1">
        <f t="shared" si="0"/>
        <v>4034</v>
      </c>
      <c r="U54" s="1">
        <f t="shared" si="1"/>
        <v>4034</v>
      </c>
      <c r="V54" s="1">
        <v>4034</v>
      </c>
    </row>
    <row r="55" spans="1:44" x14ac:dyDescent="0.2">
      <c r="A55" s="18" t="s">
        <v>2442</v>
      </c>
      <c r="B55" s="18">
        <v>22361517</v>
      </c>
      <c r="C55" s="18" t="s">
        <v>7421</v>
      </c>
      <c r="D55" s="18"/>
      <c r="E55" s="19">
        <v>17</v>
      </c>
      <c r="F55" s="18"/>
      <c r="G55" s="18" t="s">
        <v>7036</v>
      </c>
      <c r="H55" s="18" t="s">
        <v>7212</v>
      </c>
      <c r="I55" s="24">
        <v>40941</v>
      </c>
      <c r="J55" s="18" t="s">
        <v>10</v>
      </c>
      <c r="K55" s="18" t="s">
        <v>816</v>
      </c>
      <c r="L55" s="18" t="s">
        <v>7680</v>
      </c>
      <c r="M55" s="18"/>
      <c r="N55" s="18" t="s">
        <v>10</v>
      </c>
      <c r="O55" s="18" t="s">
        <v>10</v>
      </c>
      <c r="P55" s="18" t="s">
        <v>7681</v>
      </c>
      <c r="Q55" s="18" t="s">
        <v>7682</v>
      </c>
      <c r="R55" s="18" t="s">
        <v>10923</v>
      </c>
      <c r="S55" s="1" t="s">
        <v>6244</v>
      </c>
      <c r="T55" s="1">
        <f t="shared" si="0"/>
        <v>44257</v>
      </c>
      <c r="U55" s="1">
        <f t="shared" si="1"/>
        <v>28817</v>
      </c>
      <c r="V55" s="1">
        <v>21550</v>
      </c>
      <c r="W55" s="1">
        <v>7267</v>
      </c>
      <c r="AH55" s="1">
        <f>SUM(AI55:AT55)</f>
        <v>15440</v>
      </c>
      <c r="AI55" s="1">
        <v>15440</v>
      </c>
    </row>
    <row r="56" spans="1:44" x14ac:dyDescent="0.2">
      <c r="A56" s="18" t="s">
        <v>8904</v>
      </c>
      <c r="B56" s="18">
        <v>22362730</v>
      </c>
      <c r="C56" s="18" t="s">
        <v>7421</v>
      </c>
      <c r="D56" s="18"/>
      <c r="E56" s="19">
        <v>49</v>
      </c>
      <c r="F56" s="18"/>
      <c r="G56" s="18" t="s">
        <v>8899</v>
      </c>
      <c r="H56" s="18" t="s">
        <v>8900</v>
      </c>
      <c r="I56" s="24">
        <v>40961</v>
      </c>
      <c r="J56" s="18" t="s">
        <v>10</v>
      </c>
      <c r="K56" s="18" t="s">
        <v>8905</v>
      </c>
      <c r="L56" s="18" t="s">
        <v>8906</v>
      </c>
      <c r="M56" s="18"/>
      <c r="N56" s="18" t="s">
        <v>11</v>
      </c>
      <c r="O56" s="18" t="s">
        <v>10</v>
      </c>
      <c r="P56" s="18" t="s">
        <v>8907</v>
      </c>
      <c r="Q56" s="18" t="s">
        <v>33</v>
      </c>
      <c r="R56" s="18" t="s">
        <v>10938</v>
      </c>
      <c r="S56" s="1" t="s">
        <v>6248</v>
      </c>
      <c r="T56" s="1">
        <f t="shared" si="0"/>
        <v>642</v>
      </c>
      <c r="U56" s="1">
        <f t="shared" si="1"/>
        <v>642</v>
      </c>
      <c r="AE56" s="1">
        <v>642</v>
      </c>
    </row>
    <row r="57" spans="1:44" x14ac:dyDescent="0.2">
      <c r="A57" s="18" t="s">
        <v>2440</v>
      </c>
      <c r="B57" s="18">
        <v>22362864</v>
      </c>
      <c r="C57" s="18" t="s">
        <v>7421</v>
      </c>
      <c r="D57" s="18"/>
      <c r="E57" s="19">
        <v>3</v>
      </c>
      <c r="F57" s="18"/>
      <c r="G57" s="18" t="s">
        <v>9152</v>
      </c>
      <c r="H57" s="18" t="s">
        <v>7172</v>
      </c>
      <c r="I57" s="24">
        <v>40962</v>
      </c>
      <c r="J57" s="18" t="s">
        <v>10</v>
      </c>
      <c r="K57" s="18" t="s">
        <v>657</v>
      </c>
      <c r="L57" s="18" t="s">
        <v>9153</v>
      </c>
      <c r="M57" s="18"/>
      <c r="N57" s="18" t="s">
        <v>10</v>
      </c>
      <c r="O57" s="18" t="s">
        <v>10</v>
      </c>
      <c r="P57" s="18" t="s">
        <v>9154</v>
      </c>
      <c r="Q57" s="18" t="s">
        <v>9155</v>
      </c>
      <c r="R57" s="18" t="s">
        <v>9156</v>
      </c>
      <c r="S57" s="1" t="s">
        <v>6243</v>
      </c>
      <c r="T57" s="1">
        <f t="shared" si="0"/>
        <v>4973</v>
      </c>
      <c r="U57" s="1">
        <f t="shared" si="1"/>
        <v>1837</v>
      </c>
      <c r="V57" s="1">
        <f>764+1073</f>
        <v>1837</v>
      </c>
      <c r="AH57" s="1">
        <f>SUM(AI57:AT57)</f>
        <v>3136</v>
      </c>
      <c r="AI57" s="1">
        <f>1739+1397</f>
        <v>3136</v>
      </c>
    </row>
    <row r="58" spans="1:44" x14ac:dyDescent="0.2">
      <c r="A58" s="18" t="s">
        <v>9974</v>
      </c>
      <c r="B58" s="18">
        <v>22362865</v>
      </c>
      <c r="C58" s="18" t="s">
        <v>7421</v>
      </c>
      <c r="D58" s="18"/>
      <c r="E58" s="19">
        <v>5</v>
      </c>
      <c r="F58" s="18"/>
      <c r="G58" s="18" t="s">
        <v>9975</v>
      </c>
      <c r="H58" s="18" t="s">
        <v>9976</v>
      </c>
      <c r="I58" s="24">
        <v>40962</v>
      </c>
      <c r="J58" s="18" t="s">
        <v>11</v>
      </c>
      <c r="K58" s="18" t="s">
        <v>9977</v>
      </c>
      <c r="L58" s="18" t="s">
        <v>9978</v>
      </c>
      <c r="M58" s="18"/>
      <c r="N58" s="18" t="s">
        <v>10</v>
      </c>
      <c r="O58" s="18" t="s">
        <v>10</v>
      </c>
      <c r="P58" s="18" t="s">
        <v>9979</v>
      </c>
      <c r="Q58" s="18" t="s">
        <v>9980</v>
      </c>
      <c r="R58" s="18" t="s">
        <v>9981</v>
      </c>
      <c r="S58" s="1" t="s">
        <v>6243</v>
      </c>
      <c r="T58" s="1">
        <f t="shared" si="0"/>
        <v>1799</v>
      </c>
      <c r="U58" s="1">
        <f t="shared" si="1"/>
        <v>1573</v>
      </c>
      <c r="V58" s="1">
        <v>1573</v>
      </c>
      <c r="AH58" s="1">
        <f>SUM(AI58:AT58)</f>
        <v>226</v>
      </c>
      <c r="AI58" s="1">
        <v>226</v>
      </c>
    </row>
    <row r="59" spans="1:44" x14ac:dyDescent="0.2">
      <c r="A59" s="18" t="s">
        <v>7948</v>
      </c>
      <c r="B59" s="18">
        <v>22365631</v>
      </c>
      <c r="C59" s="18" t="s">
        <v>7421</v>
      </c>
      <c r="D59" s="18"/>
      <c r="E59" s="19">
        <v>166</v>
      </c>
      <c r="F59" s="18"/>
      <c r="G59" s="18" t="s">
        <v>10649</v>
      </c>
      <c r="H59" s="18" t="s">
        <v>7145</v>
      </c>
      <c r="I59" s="24">
        <v>40961</v>
      </c>
      <c r="J59" s="18" t="s">
        <v>11</v>
      </c>
      <c r="K59" s="18" t="s">
        <v>1128</v>
      </c>
      <c r="L59" s="18" t="s">
        <v>10650</v>
      </c>
      <c r="M59" s="18"/>
      <c r="N59" s="18" t="s">
        <v>10</v>
      </c>
      <c r="O59" s="18" t="s">
        <v>10</v>
      </c>
      <c r="P59" s="18" t="s">
        <v>10651</v>
      </c>
      <c r="Q59" s="18" t="s">
        <v>33</v>
      </c>
      <c r="R59" s="18" t="s">
        <v>7953</v>
      </c>
      <c r="S59" s="1" t="s">
        <v>6243</v>
      </c>
      <c r="T59" s="1">
        <f t="shared" si="0"/>
        <v>2697</v>
      </c>
      <c r="U59" s="1">
        <f t="shared" si="1"/>
        <v>2697</v>
      </c>
      <c r="V59" s="1">
        <f>1263+1434</f>
        <v>2697</v>
      </c>
    </row>
    <row r="60" spans="1:44" x14ac:dyDescent="0.2">
      <c r="A60" s="18" t="s">
        <v>10154</v>
      </c>
      <c r="B60" s="18">
        <v>22367438</v>
      </c>
      <c r="C60" s="18" t="s">
        <v>7421</v>
      </c>
      <c r="D60" s="18"/>
      <c r="E60" s="19">
        <v>12</v>
      </c>
      <c r="F60" s="18"/>
      <c r="G60" s="18" t="s">
        <v>77</v>
      </c>
      <c r="H60" s="18" t="s">
        <v>6689</v>
      </c>
      <c r="I60" s="24">
        <v>40965</v>
      </c>
      <c r="J60" s="18" t="s">
        <v>11</v>
      </c>
      <c r="K60" s="18" t="s">
        <v>595</v>
      </c>
      <c r="L60" s="18" t="s">
        <v>10155</v>
      </c>
      <c r="M60" s="18"/>
      <c r="N60" s="18" t="s">
        <v>11</v>
      </c>
      <c r="O60" s="18" t="s">
        <v>11</v>
      </c>
      <c r="P60" s="18" t="s">
        <v>10156</v>
      </c>
      <c r="Q60" s="18" t="s">
        <v>10157</v>
      </c>
      <c r="R60" s="18" t="s">
        <v>10158</v>
      </c>
      <c r="S60" s="1" t="s">
        <v>6243</v>
      </c>
      <c r="T60" s="1">
        <f t="shared" si="0"/>
        <v>7413</v>
      </c>
      <c r="U60" s="1">
        <f t="shared" si="1"/>
        <v>2277</v>
      </c>
      <c r="V60" s="1">
        <f>1176+1101</f>
        <v>2277</v>
      </c>
      <c r="AH60" s="1">
        <f>SUM(AI60:AT60)</f>
        <v>5136</v>
      </c>
      <c r="AI60" s="1">
        <f>1964+3172</f>
        <v>5136</v>
      </c>
    </row>
    <row r="61" spans="1:44" x14ac:dyDescent="0.2">
      <c r="A61" s="18" t="s">
        <v>1635</v>
      </c>
      <c r="B61" s="18">
        <v>22367966</v>
      </c>
      <c r="C61" s="18" t="s">
        <v>7421</v>
      </c>
      <c r="D61" s="18"/>
      <c r="E61" s="19">
        <v>12</v>
      </c>
      <c r="F61" s="18"/>
      <c r="G61" s="18" t="s">
        <v>10866</v>
      </c>
      <c r="H61" s="18" t="s">
        <v>7211</v>
      </c>
      <c r="I61" s="24">
        <v>40963</v>
      </c>
      <c r="J61" s="18" t="s">
        <v>11</v>
      </c>
      <c r="K61" s="18" t="s">
        <v>103</v>
      </c>
      <c r="L61" s="18" t="s">
        <v>10867</v>
      </c>
      <c r="M61" s="18"/>
      <c r="N61" s="18" t="s">
        <v>10</v>
      </c>
      <c r="O61" s="18" t="s">
        <v>10</v>
      </c>
      <c r="P61" s="18" t="s">
        <v>9245</v>
      </c>
      <c r="Q61" s="18" t="s">
        <v>10868</v>
      </c>
      <c r="R61" s="18" t="s">
        <v>8445</v>
      </c>
      <c r="S61" s="1" t="s">
        <v>6242</v>
      </c>
      <c r="T61" s="1">
        <f t="shared" si="0"/>
        <v>3495</v>
      </c>
      <c r="U61" s="1">
        <f t="shared" si="1"/>
        <v>1999</v>
      </c>
      <c r="X61" s="1">
        <v>1999</v>
      </c>
      <c r="AH61" s="1">
        <f>SUM(AI61:AT61)</f>
        <v>1496</v>
      </c>
      <c r="AK61" s="1">
        <v>1496</v>
      </c>
    </row>
    <row r="62" spans="1:44" x14ac:dyDescent="0.2">
      <c r="A62" s="18" t="s">
        <v>10278</v>
      </c>
      <c r="B62" s="18">
        <v>22368281</v>
      </c>
      <c r="C62" s="18" t="s">
        <v>7421</v>
      </c>
      <c r="D62" s="18"/>
      <c r="E62" s="19">
        <v>36</v>
      </c>
      <c r="F62" s="18"/>
      <c r="G62" s="18" t="s">
        <v>10279</v>
      </c>
      <c r="H62" s="18" t="s">
        <v>7312</v>
      </c>
      <c r="I62" s="24">
        <v>40963</v>
      </c>
      <c r="J62" s="18" t="s">
        <v>11</v>
      </c>
      <c r="K62" s="18" t="s">
        <v>670</v>
      </c>
      <c r="L62" s="18" t="s">
        <v>10280</v>
      </c>
      <c r="M62" s="18"/>
      <c r="N62" s="18" t="s">
        <v>10</v>
      </c>
      <c r="O62" s="18" t="s">
        <v>10</v>
      </c>
      <c r="P62" s="18" t="s">
        <v>10281</v>
      </c>
      <c r="Q62" s="18" t="s">
        <v>10282</v>
      </c>
      <c r="R62" s="18" t="s">
        <v>10959</v>
      </c>
      <c r="S62" s="1" t="s">
        <v>6243</v>
      </c>
      <c r="T62" s="1">
        <f t="shared" si="0"/>
        <v>5252</v>
      </c>
      <c r="U62" s="1">
        <f t="shared" si="1"/>
        <v>2702</v>
      </c>
      <c r="V62" s="1">
        <v>2702</v>
      </c>
      <c r="AH62" s="1">
        <f>SUM(AI62:AT62)</f>
        <v>2550</v>
      </c>
      <c r="AI62" s="1">
        <v>2550</v>
      </c>
    </row>
    <row r="63" spans="1:44" x14ac:dyDescent="0.2">
      <c r="A63" s="18" t="s">
        <v>45</v>
      </c>
      <c r="B63" s="18">
        <v>22371699</v>
      </c>
      <c r="C63" s="18" t="s">
        <v>7421</v>
      </c>
      <c r="D63" s="18">
        <v>1</v>
      </c>
      <c r="E63" s="19">
        <v>0</v>
      </c>
      <c r="F63" s="18"/>
      <c r="G63" s="18" t="s">
        <v>74</v>
      </c>
      <c r="H63" s="18" t="s">
        <v>2545</v>
      </c>
      <c r="I63" s="24">
        <v>40961</v>
      </c>
      <c r="J63" s="18" t="s">
        <v>10</v>
      </c>
      <c r="K63" s="18" t="s">
        <v>10396</v>
      </c>
      <c r="L63" s="18" t="s">
        <v>10397</v>
      </c>
      <c r="M63" s="18"/>
      <c r="N63" s="18" t="s">
        <v>10</v>
      </c>
      <c r="O63" s="18" t="s">
        <v>10</v>
      </c>
      <c r="P63" s="18" t="s">
        <v>10398</v>
      </c>
      <c r="Q63" s="18" t="s">
        <v>33</v>
      </c>
      <c r="R63" s="18" t="s">
        <v>10399</v>
      </c>
      <c r="S63" s="1" t="s">
        <v>6244</v>
      </c>
      <c r="T63" s="1">
        <f t="shared" si="0"/>
        <v>88</v>
      </c>
      <c r="U63" s="1">
        <f t="shared" si="1"/>
        <v>88</v>
      </c>
      <c r="V63" s="1">
        <v>72</v>
      </c>
      <c r="W63" s="1">
        <v>10</v>
      </c>
      <c r="X63" s="1">
        <v>4</v>
      </c>
      <c r="AD63" s="1">
        <v>2</v>
      </c>
    </row>
    <row r="64" spans="1:44" x14ac:dyDescent="0.2">
      <c r="A64" s="18" t="s">
        <v>1543</v>
      </c>
      <c r="B64" s="18">
        <v>22377092</v>
      </c>
      <c r="C64" s="18" t="s">
        <v>7421</v>
      </c>
      <c r="D64" s="18"/>
      <c r="E64" s="19">
        <v>82</v>
      </c>
      <c r="F64" s="18"/>
      <c r="G64" s="18" t="s">
        <v>85</v>
      </c>
      <c r="H64" s="18" t="s">
        <v>7156</v>
      </c>
      <c r="I64" s="24">
        <v>40966</v>
      </c>
      <c r="J64" s="18" t="s">
        <v>11</v>
      </c>
      <c r="K64" s="18" t="s">
        <v>7587</v>
      </c>
      <c r="L64" s="18" t="s">
        <v>9757</v>
      </c>
      <c r="M64" s="18"/>
      <c r="N64" s="18" t="s">
        <v>10</v>
      </c>
      <c r="O64" s="18" t="s">
        <v>10</v>
      </c>
      <c r="P64" s="18" t="s">
        <v>9758</v>
      </c>
      <c r="Q64" s="18" t="s">
        <v>9759</v>
      </c>
      <c r="R64" s="18" t="s">
        <v>9760</v>
      </c>
      <c r="S64" s="1" t="s">
        <v>6243</v>
      </c>
      <c r="T64" s="1">
        <f t="shared" si="0"/>
        <v>5724</v>
      </c>
      <c r="U64" s="1">
        <f t="shared" si="1"/>
        <v>2420</v>
      </c>
      <c r="V64" s="1">
        <f>1079+1341</f>
        <v>2420</v>
      </c>
      <c r="AH64" s="1">
        <f>SUM(AI64:AT64)</f>
        <v>3304</v>
      </c>
      <c r="AR64" s="1">
        <f>1419+1885</f>
        <v>3304</v>
      </c>
    </row>
    <row r="65" spans="1:38" x14ac:dyDescent="0.2">
      <c r="A65" s="18" t="s">
        <v>1717</v>
      </c>
      <c r="B65" s="18">
        <v>22377632</v>
      </c>
      <c r="C65" s="18" t="s">
        <v>7421</v>
      </c>
      <c r="D65" s="18"/>
      <c r="E65" s="19">
        <v>117095</v>
      </c>
      <c r="F65" s="18"/>
      <c r="G65" s="18" t="s">
        <v>10708</v>
      </c>
      <c r="H65" s="18" t="s">
        <v>10709</v>
      </c>
      <c r="I65" s="24">
        <v>40968</v>
      </c>
      <c r="J65" s="18" t="s">
        <v>10</v>
      </c>
      <c r="K65" s="18" t="s">
        <v>10710</v>
      </c>
      <c r="L65" s="18" t="s">
        <v>10711</v>
      </c>
      <c r="M65" s="18"/>
      <c r="N65" s="18" t="s">
        <v>11</v>
      </c>
      <c r="O65" s="18" t="s">
        <v>10</v>
      </c>
      <c r="P65" s="18" t="s">
        <v>10712</v>
      </c>
      <c r="Q65" s="18" t="s">
        <v>33</v>
      </c>
      <c r="R65" s="18" t="s">
        <v>10963</v>
      </c>
      <c r="S65" s="1" t="s">
        <v>6243</v>
      </c>
      <c r="T65" s="1">
        <f t="shared" si="0"/>
        <v>4728</v>
      </c>
      <c r="U65" s="1">
        <f t="shared" si="1"/>
        <v>4728</v>
      </c>
      <c r="V65" s="1">
        <v>4728</v>
      </c>
    </row>
    <row r="66" spans="1:38" x14ac:dyDescent="0.2">
      <c r="A66" s="18" t="s">
        <v>2265</v>
      </c>
      <c r="B66" s="18">
        <v>22379998</v>
      </c>
      <c r="C66" s="18" t="s">
        <v>7421</v>
      </c>
      <c r="D66" s="18"/>
      <c r="E66" s="19">
        <v>30</v>
      </c>
      <c r="F66" s="18"/>
      <c r="G66" s="18" t="s">
        <v>9330</v>
      </c>
      <c r="H66" s="18" t="s">
        <v>9331</v>
      </c>
      <c r="I66" s="24">
        <v>41710</v>
      </c>
      <c r="J66" s="18" t="s">
        <v>11</v>
      </c>
      <c r="K66" s="18" t="s">
        <v>708</v>
      </c>
      <c r="L66" s="18" t="s">
        <v>9332</v>
      </c>
      <c r="M66" s="18"/>
      <c r="N66" s="18" t="s">
        <v>10</v>
      </c>
      <c r="O66" s="18" t="s">
        <v>10</v>
      </c>
      <c r="P66" s="18" t="s">
        <v>9333</v>
      </c>
      <c r="Q66" s="18" t="s">
        <v>33</v>
      </c>
      <c r="R66" s="18" t="s">
        <v>10945</v>
      </c>
      <c r="S66" s="1" t="s">
        <v>6243</v>
      </c>
      <c r="T66" s="1">
        <f t="shared" ref="T66:T129" si="3">SUM(U66,AH66)</f>
        <v>1372</v>
      </c>
      <c r="U66" s="1">
        <f t="shared" ref="U66:U129" si="4">SUM(V66:AG66)</f>
        <v>1372</v>
      </c>
      <c r="V66" s="1">
        <f>34+42+1296</f>
        <v>1372</v>
      </c>
    </row>
    <row r="67" spans="1:38" x14ac:dyDescent="0.2">
      <c r="A67" s="18" t="s">
        <v>2589</v>
      </c>
      <c r="B67" s="18">
        <v>22383892</v>
      </c>
      <c r="C67" s="18" t="s">
        <v>7421</v>
      </c>
      <c r="D67" s="18"/>
      <c r="E67" s="19">
        <v>43</v>
      </c>
      <c r="F67" s="18">
        <v>1</v>
      </c>
      <c r="G67" s="18" t="s">
        <v>8958</v>
      </c>
      <c r="H67" s="18" t="s">
        <v>8959</v>
      </c>
      <c r="I67" s="24">
        <v>40962</v>
      </c>
      <c r="J67" s="18" t="s">
        <v>10</v>
      </c>
      <c r="K67" s="18" t="s">
        <v>65</v>
      </c>
      <c r="L67" s="18" t="s">
        <v>8960</v>
      </c>
      <c r="M67" s="18"/>
      <c r="N67" s="18" t="s">
        <v>10</v>
      </c>
      <c r="O67" s="18" t="s">
        <v>10</v>
      </c>
      <c r="P67" s="18" t="s">
        <v>8961</v>
      </c>
      <c r="Q67" s="18" t="s">
        <v>33</v>
      </c>
      <c r="R67" s="18" t="s">
        <v>8962</v>
      </c>
      <c r="S67" s="1" t="s">
        <v>6243</v>
      </c>
      <c r="T67" s="1">
        <f t="shared" si="3"/>
        <v>357</v>
      </c>
      <c r="U67" s="1">
        <f t="shared" si="4"/>
        <v>357</v>
      </c>
      <c r="V67" s="1">
        <f>144+144+69</f>
        <v>357</v>
      </c>
    </row>
    <row r="68" spans="1:38" x14ac:dyDescent="0.2">
      <c r="A68" s="18" t="s">
        <v>7761</v>
      </c>
      <c r="B68" s="18">
        <v>22383894</v>
      </c>
      <c r="C68" s="18" t="s">
        <v>7421</v>
      </c>
      <c r="D68" s="18"/>
      <c r="E68" s="19">
        <v>45</v>
      </c>
      <c r="F68" s="18"/>
      <c r="G68" s="18" t="s">
        <v>7762</v>
      </c>
      <c r="H68" s="18" t="s">
        <v>7763</v>
      </c>
      <c r="I68" s="24">
        <v>40962</v>
      </c>
      <c r="J68" s="18" t="s">
        <v>11</v>
      </c>
      <c r="K68" s="18" t="s">
        <v>65</v>
      </c>
      <c r="L68" s="18" t="s">
        <v>7764</v>
      </c>
      <c r="M68" s="18"/>
      <c r="N68" s="18" t="s">
        <v>10</v>
      </c>
      <c r="O68" s="18" t="s">
        <v>10</v>
      </c>
      <c r="P68" s="18" t="s">
        <v>7765</v>
      </c>
      <c r="Q68" s="18" t="s">
        <v>7766</v>
      </c>
      <c r="R68" s="18" t="s">
        <v>7767</v>
      </c>
      <c r="S68" s="1" t="s">
        <v>6432</v>
      </c>
      <c r="T68" s="1">
        <f t="shared" si="3"/>
        <v>4192</v>
      </c>
      <c r="U68" s="1">
        <f t="shared" si="4"/>
        <v>1313</v>
      </c>
      <c r="Y68" s="1">
        <v>1313</v>
      </c>
      <c r="AH68" s="1">
        <f>SUM(AI68:AT68)</f>
        <v>2879</v>
      </c>
      <c r="AL68" s="1">
        <f>1085+1794</f>
        <v>2879</v>
      </c>
    </row>
    <row r="69" spans="1:38" x14ac:dyDescent="0.2">
      <c r="A69" s="18" t="s">
        <v>1563</v>
      </c>
      <c r="B69" s="18">
        <v>22383897</v>
      </c>
      <c r="C69" s="18" t="s">
        <v>7421</v>
      </c>
      <c r="D69" s="18"/>
      <c r="E69" s="19">
        <v>55</v>
      </c>
      <c r="F69" s="18"/>
      <c r="G69" s="18" t="s">
        <v>119</v>
      </c>
      <c r="H69" s="18" t="s">
        <v>6675</v>
      </c>
      <c r="I69" s="24">
        <v>40962</v>
      </c>
      <c r="J69" s="18" t="s">
        <v>11</v>
      </c>
      <c r="K69" s="18" t="s">
        <v>65</v>
      </c>
      <c r="L69" s="18" t="s">
        <v>8159</v>
      </c>
      <c r="M69" s="18"/>
      <c r="N69" s="18" t="s">
        <v>11</v>
      </c>
      <c r="O69" s="18" t="s">
        <v>11</v>
      </c>
      <c r="P69" s="18" t="s">
        <v>8160</v>
      </c>
      <c r="Q69" s="18" t="s">
        <v>8161</v>
      </c>
      <c r="R69" s="18" t="s">
        <v>8162</v>
      </c>
      <c r="S69" s="1" t="s">
        <v>6242</v>
      </c>
      <c r="T69" s="1">
        <f t="shared" si="3"/>
        <v>39697</v>
      </c>
      <c r="U69" s="1">
        <f t="shared" si="4"/>
        <v>5242</v>
      </c>
      <c r="X69" s="1">
        <f>2918+2324</f>
        <v>5242</v>
      </c>
      <c r="AH69" s="1">
        <f>SUM(AI69:AT69)</f>
        <v>34455</v>
      </c>
      <c r="AK69" s="1">
        <f>1875+6838+6888+1297+1585+1066+1065+5038+6869+1934</f>
        <v>34455</v>
      </c>
    </row>
    <row r="70" spans="1:38" x14ac:dyDescent="0.2">
      <c r="A70" s="18" t="s">
        <v>1147</v>
      </c>
      <c r="B70" s="18">
        <v>22384028</v>
      </c>
      <c r="C70" s="18" t="s">
        <v>7421</v>
      </c>
      <c r="D70" s="18"/>
      <c r="E70" s="19">
        <v>119</v>
      </c>
      <c r="F70" s="18"/>
      <c r="G70" s="18" t="s">
        <v>9196</v>
      </c>
      <c r="H70" s="18" t="s">
        <v>7222</v>
      </c>
      <c r="I70" s="24">
        <v>40963</v>
      </c>
      <c r="J70" s="18" t="s">
        <v>11</v>
      </c>
      <c r="K70" s="18" t="s">
        <v>181</v>
      </c>
      <c r="L70" s="18" t="s">
        <v>9197</v>
      </c>
      <c r="M70" s="18"/>
      <c r="N70" s="18" t="s">
        <v>10</v>
      </c>
      <c r="O70" s="18" t="s">
        <v>10</v>
      </c>
      <c r="P70" s="18" t="s">
        <v>9198</v>
      </c>
      <c r="Q70" s="18" t="s">
        <v>33</v>
      </c>
      <c r="R70" s="18" t="s">
        <v>9199</v>
      </c>
      <c r="S70" s="1" t="s">
        <v>6242</v>
      </c>
      <c r="T70" s="1">
        <f t="shared" si="3"/>
        <v>315</v>
      </c>
      <c r="U70" s="1">
        <f t="shared" si="4"/>
        <v>315</v>
      </c>
      <c r="X70" s="1">
        <v>315</v>
      </c>
    </row>
    <row r="71" spans="1:38" x14ac:dyDescent="0.2">
      <c r="A71" s="18" t="s">
        <v>1435</v>
      </c>
      <c r="B71" s="18">
        <v>22387017</v>
      </c>
      <c r="C71" s="18" t="s">
        <v>7421</v>
      </c>
      <c r="D71" s="18"/>
      <c r="E71" s="19">
        <v>61</v>
      </c>
      <c r="F71" s="18"/>
      <c r="G71" s="18" t="s">
        <v>9183</v>
      </c>
      <c r="H71" s="18" t="s">
        <v>9184</v>
      </c>
      <c r="I71" s="24">
        <v>40969</v>
      </c>
      <c r="J71" s="18" t="s">
        <v>10</v>
      </c>
      <c r="K71" s="18" t="s">
        <v>16</v>
      </c>
      <c r="L71" s="18" t="s">
        <v>9185</v>
      </c>
      <c r="M71" s="18"/>
      <c r="N71" s="18" t="s">
        <v>10</v>
      </c>
      <c r="O71" s="18" t="s">
        <v>10</v>
      </c>
      <c r="P71" s="18" t="s">
        <v>9186</v>
      </c>
      <c r="Q71" s="18" t="s">
        <v>33</v>
      </c>
      <c r="R71" s="18" t="s">
        <v>9187</v>
      </c>
      <c r="S71" s="1" t="s">
        <v>6243</v>
      </c>
      <c r="T71" s="1">
        <f t="shared" si="3"/>
        <v>2375</v>
      </c>
      <c r="U71" s="1">
        <f t="shared" si="4"/>
        <v>2375</v>
      </c>
      <c r="V71" s="1">
        <f>699+1676</f>
        <v>2375</v>
      </c>
    </row>
    <row r="72" spans="1:38" x14ac:dyDescent="0.2">
      <c r="A72" s="18" t="s">
        <v>7482</v>
      </c>
      <c r="B72" s="18">
        <v>22387998</v>
      </c>
      <c r="C72" s="18" t="s">
        <v>7421</v>
      </c>
      <c r="D72" s="18"/>
      <c r="E72" s="19">
        <v>111</v>
      </c>
      <c r="F72" s="18"/>
      <c r="G72" s="18" t="s">
        <v>8661</v>
      </c>
      <c r="H72" s="18" t="s">
        <v>8662</v>
      </c>
      <c r="I72" s="24">
        <v>40972</v>
      </c>
      <c r="J72" s="18" t="s">
        <v>11</v>
      </c>
      <c r="K72" s="18" t="s">
        <v>28</v>
      </c>
      <c r="L72" s="18" t="s">
        <v>8663</v>
      </c>
      <c r="M72" s="18"/>
      <c r="N72" s="18" t="s">
        <v>10</v>
      </c>
      <c r="O72" s="18" t="s">
        <v>10</v>
      </c>
      <c r="P72" s="18" t="s">
        <v>8664</v>
      </c>
      <c r="Q72" s="18" t="s">
        <v>8665</v>
      </c>
      <c r="R72" s="18" t="s">
        <v>8666</v>
      </c>
      <c r="S72" s="1" t="s">
        <v>6242</v>
      </c>
      <c r="T72" s="1">
        <f t="shared" si="3"/>
        <v>32358</v>
      </c>
      <c r="U72" s="1">
        <f t="shared" si="4"/>
        <v>22737</v>
      </c>
      <c r="X72" s="1">
        <f>1043+21694</f>
        <v>22737</v>
      </c>
      <c r="AH72" s="1">
        <f>SUM(AI72:AT72)</f>
        <v>9621</v>
      </c>
      <c r="AK72" s="1">
        <f>5992+3629</f>
        <v>9621</v>
      </c>
    </row>
    <row r="73" spans="1:38" x14ac:dyDescent="0.2">
      <c r="A73" s="18" t="s">
        <v>1220</v>
      </c>
      <c r="B73" s="18">
        <v>22388998</v>
      </c>
      <c r="C73" s="18" t="s">
        <v>7421</v>
      </c>
      <c r="D73" s="18"/>
      <c r="E73" s="19">
        <v>72</v>
      </c>
      <c r="F73" s="18"/>
      <c r="G73" s="18" t="s">
        <v>8894</v>
      </c>
      <c r="H73" s="18" t="s">
        <v>8895</v>
      </c>
      <c r="I73" s="24">
        <v>40927</v>
      </c>
      <c r="J73" s="18" t="s">
        <v>11</v>
      </c>
      <c r="K73" s="18" t="s">
        <v>1139</v>
      </c>
      <c r="L73" s="18" t="s">
        <v>8896</v>
      </c>
      <c r="M73" s="18"/>
      <c r="N73" s="18" t="s">
        <v>10</v>
      </c>
      <c r="O73" s="18" t="s">
        <v>10</v>
      </c>
      <c r="P73" s="18" t="s">
        <v>8897</v>
      </c>
      <c r="Q73" s="18" t="s">
        <v>33</v>
      </c>
      <c r="R73" s="18" t="s">
        <v>8898</v>
      </c>
      <c r="S73" s="1" t="s">
        <v>6243</v>
      </c>
      <c r="T73" s="1">
        <f t="shared" si="3"/>
        <v>139</v>
      </c>
      <c r="U73" s="1">
        <f t="shared" si="4"/>
        <v>139</v>
      </c>
      <c r="V73" s="1">
        <v>139</v>
      </c>
    </row>
    <row r="74" spans="1:38" x14ac:dyDescent="0.2">
      <c r="A74" s="18" t="s">
        <v>9395</v>
      </c>
      <c r="B74" s="18">
        <v>22391508</v>
      </c>
      <c r="C74" s="18" t="s">
        <v>7421</v>
      </c>
      <c r="D74" s="18"/>
      <c r="E74" s="19">
        <v>16</v>
      </c>
      <c r="F74" s="18"/>
      <c r="G74" s="18" t="s">
        <v>10502</v>
      </c>
      <c r="H74" s="18" t="s">
        <v>10503</v>
      </c>
      <c r="I74" s="24">
        <v>40973</v>
      </c>
      <c r="J74" s="18" t="s">
        <v>11</v>
      </c>
      <c r="K74" s="18" t="s">
        <v>10504</v>
      </c>
      <c r="L74" s="18" t="s">
        <v>10505</v>
      </c>
      <c r="M74" s="18"/>
      <c r="N74" s="18" t="s">
        <v>10</v>
      </c>
      <c r="O74" s="18" t="s">
        <v>10</v>
      </c>
      <c r="P74" s="18" t="s">
        <v>10506</v>
      </c>
      <c r="Q74" s="18" t="s">
        <v>33</v>
      </c>
      <c r="R74" s="18" t="s">
        <v>10507</v>
      </c>
      <c r="S74" s="1" t="s">
        <v>6244</v>
      </c>
      <c r="T74" s="1">
        <f t="shared" si="3"/>
        <v>100</v>
      </c>
      <c r="U74" s="1">
        <f t="shared" si="4"/>
        <v>100</v>
      </c>
      <c r="AD74" s="1">
        <v>100</v>
      </c>
    </row>
    <row r="75" spans="1:38" x14ac:dyDescent="0.2">
      <c r="A75" s="18" t="s">
        <v>1135</v>
      </c>
      <c r="B75" s="18">
        <v>22394158</v>
      </c>
      <c r="C75" s="18" t="s">
        <v>7421</v>
      </c>
      <c r="D75" s="18"/>
      <c r="E75" s="19">
        <v>15</v>
      </c>
      <c r="F75" s="18"/>
      <c r="G75" s="18" t="s">
        <v>10389</v>
      </c>
      <c r="H75" s="18" t="s">
        <v>6817</v>
      </c>
      <c r="I75" s="24">
        <v>40974</v>
      </c>
      <c r="J75" s="18" t="s">
        <v>10</v>
      </c>
      <c r="K75" s="18" t="s">
        <v>10390</v>
      </c>
      <c r="L75" s="18" t="s">
        <v>10394</v>
      </c>
      <c r="M75" s="18"/>
      <c r="N75" s="18" t="s">
        <v>10</v>
      </c>
      <c r="O75" s="18" t="s">
        <v>10</v>
      </c>
      <c r="P75" s="18" t="s">
        <v>10395</v>
      </c>
      <c r="Q75" s="18" t="s">
        <v>33</v>
      </c>
      <c r="R75" s="18" t="s">
        <v>10393</v>
      </c>
      <c r="S75" s="1" t="s">
        <v>6242</v>
      </c>
      <c r="T75" s="1">
        <f t="shared" si="3"/>
        <v>1222</v>
      </c>
      <c r="U75" s="1">
        <f t="shared" si="4"/>
        <v>1222</v>
      </c>
      <c r="X75" s="1">
        <v>1222</v>
      </c>
    </row>
    <row r="76" spans="1:38" x14ac:dyDescent="0.2">
      <c r="A76" s="18" t="s">
        <v>9125</v>
      </c>
      <c r="B76" s="18">
        <v>22396660</v>
      </c>
      <c r="C76" s="18" t="s">
        <v>7421</v>
      </c>
      <c r="D76" s="18"/>
      <c r="E76" s="19">
        <v>144</v>
      </c>
      <c r="F76" s="18"/>
      <c r="G76" s="18" t="s">
        <v>2115</v>
      </c>
      <c r="H76" s="18" t="s">
        <v>2116</v>
      </c>
      <c r="I76" s="24">
        <v>40969</v>
      </c>
      <c r="J76" s="18" t="s">
        <v>11</v>
      </c>
      <c r="K76" s="18" t="s">
        <v>65</v>
      </c>
      <c r="L76" s="18" t="s">
        <v>9722</v>
      </c>
      <c r="M76" s="18"/>
      <c r="N76" s="18" t="s">
        <v>10</v>
      </c>
      <c r="O76" s="18" t="s">
        <v>10</v>
      </c>
      <c r="P76" s="18" t="s">
        <v>9723</v>
      </c>
      <c r="Q76" s="18" t="s">
        <v>9724</v>
      </c>
      <c r="R76" s="18" t="s">
        <v>9725</v>
      </c>
      <c r="S76" s="1" t="s">
        <v>6242</v>
      </c>
      <c r="T76" s="1">
        <f t="shared" si="3"/>
        <v>23140</v>
      </c>
      <c r="U76" s="1">
        <f t="shared" si="4"/>
        <v>8375</v>
      </c>
      <c r="X76" s="1">
        <f>904+7471</f>
        <v>8375</v>
      </c>
      <c r="AH76" s="1">
        <f>SUM(AI76:AT76)</f>
        <v>14765</v>
      </c>
      <c r="AK76" s="1">
        <f>4892+9873</f>
        <v>14765</v>
      </c>
    </row>
    <row r="77" spans="1:38" x14ac:dyDescent="0.2">
      <c r="A77" s="18" t="s">
        <v>10672</v>
      </c>
      <c r="B77" s="18">
        <v>22399142</v>
      </c>
      <c r="C77" s="18" t="s">
        <v>7421</v>
      </c>
      <c r="D77" s="18"/>
      <c r="E77" s="19">
        <v>60</v>
      </c>
      <c r="F77" s="18"/>
      <c r="G77" s="18" t="s">
        <v>10673</v>
      </c>
      <c r="H77" s="18" t="s">
        <v>10674</v>
      </c>
      <c r="I77" s="24">
        <v>40976</v>
      </c>
      <c r="J77" s="18" t="s">
        <v>11</v>
      </c>
      <c r="K77" s="18" t="s">
        <v>689</v>
      </c>
      <c r="L77" s="18" t="s">
        <v>10675</v>
      </c>
      <c r="M77" s="18"/>
      <c r="N77" s="18" t="s">
        <v>11</v>
      </c>
      <c r="O77" s="18" t="s">
        <v>11</v>
      </c>
      <c r="P77" s="18" t="s">
        <v>10676</v>
      </c>
      <c r="Q77" s="18" t="s">
        <v>10677</v>
      </c>
      <c r="R77" s="18" t="s">
        <v>10678</v>
      </c>
      <c r="S77" s="1" t="s">
        <v>6242</v>
      </c>
      <c r="T77" s="1">
        <f t="shared" si="3"/>
        <v>228</v>
      </c>
      <c r="U77" s="1">
        <f t="shared" si="4"/>
        <v>152</v>
      </c>
      <c r="X77" s="1">
        <f>78+74</f>
        <v>152</v>
      </c>
      <c r="AH77" s="1">
        <f>SUM(AI77:AT77)</f>
        <v>76</v>
      </c>
      <c r="AK77" s="1">
        <f>28+48</f>
        <v>76</v>
      </c>
    </row>
    <row r="78" spans="1:38" x14ac:dyDescent="0.2">
      <c r="A78" s="18" t="s">
        <v>9577</v>
      </c>
      <c r="B78" s="18">
        <v>22399527</v>
      </c>
      <c r="C78" s="18" t="s">
        <v>7421</v>
      </c>
      <c r="D78" s="18"/>
      <c r="E78" s="19">
        <v>62</v>
      </c>
      <c r="F78" s="18"/>
      <c r="G78" s="18" t="s">
        <v>9578</v>
      </c>
      <c r="H78" s="18" t="s">
        <v>9579</v>
      </c>
      <c r="I78" s="24">
        <v>40975</v>
      </c>
      <c r="J78" s="18" t="s">
        <v>11</v>
      </c>
      <c r="K78" s="18" t="s">
        <v>551</v>
      </c>
      <c r="L78" s="18" t="s">
        <v>9580</v>
      </c>
      <c r="M78" s="18"/>
      <c r="N78" s="18" t="s">
        <v>10</v>
      </c>
      <c r="O78" s="18" t="s">
        <v>10</v>
      </c>
      <c r="P78" s="18" t="s">
        <v>9581</v>
      </c>
      <c r="Q78" s="18" t="s">
        <v>33</v>
      </c>
      <c r="R78" s="18" t="s">
        <v>9582</v>
      </c>
      <c r="S78" s="1" t="s">
        <v>6243</v>
      </c>
      <c r="T78" s="1">
        <f t="shared" si="3"/>
        <v>10564</v>
      </c>
      <c r="U78" s="1">
        <f t="shared" si="4"/>
        <v>10564</v>
      </c>
      <c r="V78" s="1">
        <f>2637+7927</f>
        <v>10564</v>
      </c>
    </row>
    <row r="79" spans="1:38" x14ac:dyDescent="0.2">
      <c r="A79" s="18" t="s">
        <v>8346</v>
      </c>
      <c r="B79" s="18">
        <v>22403646</v>
      </c>
      <c r="C79" s="18" t="s">
        <v>7421</v>
      </c>
      <c r="D79" s="18"/>
      <c r="E79" s="19">
        <v>34</v>
      </c>
      <c r="F79" s="18"/>
      <c r="G79" s="18" t="s">
        <v>8347</v>
      </c>
      <c r="H79" s="18" t="s">
        <v>8348</v>
      </c>
      <c r="I79" s="24">
        <v>40973</v>
      </c>
      <c r="J79" s="18" t="s">
        <v>11</v>
      </c>
      <c r="K79" s="18" t="s">
        <v>181</v>
      </c>
      <c r="L79" s="18" t="s">
        <v>8349</v>
      </c>
      <c r="M79" s="18"/>
      <c r="N79" s="18" t="s">
        <v>10</v>
      </c>
      <c r="O79" s="18" t="s">
        <v>10</v>
      </c>
      <c r="P79" s="18" t="s">
        <v>8350</v>
      </c>
      <c r="Q79" s="18" t="s">
        <v>8351</v>
      </c>
      <c r="R79" s="18" t="s">
        <v>8352</v>
      </c>
      <c r="S79" s="1" t="s">
        <v>6243</v>
      </c>
      <c r="T79" s="1">
        <f t="shared" si="3"/>
        <v>5022</v>
      </c>
      <c r="U79" s="1">
        <f t="shared" si="4"/>
        <v>631</v>
      </c>
      <c r="V79" s="1">
        <v>631</v>
      </c>
      <c r="AH79" s="1">
        <f>SUM(AI79:AT79)</f>
        <v>4391</v>
      </c>
      <c r="AI79" s="1">
        <f>2957+1434</f>
        <v>4391</v>
      </c>
    </row>
    <row r="80" spans="1:38" x14ac:dyDescent="0.2">
      <c r="A80" s="18" t="s">
        <v>2493</v>
      </c>
      <c r="B80" s="18">
        <v>22412387</v>
      </c>
      <c r="C80" s="18" t="s">
        <v>7421</v>
      </c>
      <c r="D80" s="18"/>
      <c r="E80" s="19">
        <v>10</v>
      </c>
      <c r="F80" s="18"/>
      <c r="G80" s="18" t="s">
        <v>842</v>
      </c>
      <c r="H80" s="18" t="s">
        <v>318</v>
      </c>
      <c r="I80" s="24">
        <v>40976</v>
      </c>
      <c r="J80" s="18" t="s">
        <v>10</v>
      </c>
      <c r="K80" s="18" t="s">
        <v>65</v>
      </c>
      <c r="L80" s="18" t="s">
        <v>7877</v>
      </c>
      <c r="M80" s="18"/>
      <c r="N80" s="18" t="s">
        <v>10</v>
      </c>
      <c r="O80" s="18" t="s">
        <v>10</v>
      </c>
      <c r="P80" s="18" t="s">
        <v>7878</v>
      </c>
      <c r="Q80" s="18" t="s">
        <v>7879</v>
      </c>
      <c r="R80" s="18" t="s">
        <v>10927</v>
      </c>
      <c r="S80" s="1" t="s">
        <v>6243</v>
      </c>
      <c r="T80" s="1">
        <f t="shared" si="3"/>
        <v>2696</v>
      </c>
      <c r="U80" s="1">
        <f t="shared" si="4"/>
        <v>943</v>
      </c>
      <c r="V80" s="1">
        <v>943</v>
      </c>
      <c r="AH80" s="1">
        <f>SUM(AI80:AT80)</f>
        <v>1753</v>
      </c>
      <c r="AI80" s="1">
        <v>1753</v>
      </c>
    </row>
    <row r="81" spans="1:43" x14ac:dyDescent="0.2">
      <c r="A81" s="18" t="s">
        <v>8560</v>
      </c>
      <c r="B81" s="18">
        <v>22412388</v>
      </c>
      <c r="C81" s="18" t="s">
        <v>7421</v>
      </c>
      <c r="D81" s="18"/>
      <c r="E81" s="19">
        <v>174</v>
      </c>
      <c r="F81" s="18"/>
      <c r="G81" s="18" t="s">
        <v>21</v>
      </c>
      <c r="H81" s="18" t="s">
        <v>22</v>
      </c>
      <c r="I81" s="24">
        <v>40976</v>
      </c>
      <c r="J81" s="18" t="s">
        <v>11</v>
      </c>
      <c r="K81" s="18" t="s">
        <v>65</v>
      </c>
      <c r="L81" s="18" t="s">
        <v>8561</v>
      </c>
      <c r="M81" s="18"/>
      <c r="N81" s="18" t="s">
        <v>10</v>
      </c>
      <c r="O81" s="18" t="s">
        <v>10</v>
      </c>
      <c r="P81" s="18" t="s">
        <v>8562</v>
      </c>
      <c r="Q81" s="18" t="s">
        <v>8563</v>
      </c>
      <c r="R81" s="18" t="s">
        <v>8564</v>
      </c>
      <c r="S81" s="1" t="s">
        <v>6243</v>
      </c>
      <c r="T81" s="1">
        <f t="shared" si="3"/>
        <v>6089</v>
      </c>
      <c r="U81" s="1">
        <f t="shared" si="4"/>
        <v>2994</v>
      </c>
      <c r="V81" s="1">
        <f>737+2257</f>
        <v>2994</v>
      </c>
      <c r="AH81" s="1">
        <f>SUM(AI81:AT81)</f>
        <v>3095</v>
      </c>
      <c r="AI81" s="1">
        <f>971+2124</f>
        <v>3095</v>
      </c>
    </row>
    <row r="82" spans="1:43" x14ac:dyDescent="0.2">
      <c r="A82" s="18" t="s">
        <v>1341</v>
      </c>
      <c r="B82" s="18">
        <v>22417934</v>
      </c>
      <c r="C82" s="18" t="s">
        <v>7421</v>
      </c>
      <c r="D82" s="18"/>
      <c r="E82" s="19">
        <v>14</v>
      </c>
      <c r="F82" s="18"/>
      <c r="G82" s="18" t="s">
        <v>9739</v>
      </c>
      <c r="H82" s="18" t="s">
        <v>9740</v>
      </c>
      <c r="I82" s="24">
        <v>40980</v>
      </c>
      <c r="J82" s="18" t="s">
        <v>11</v>
      </c>
      <c r="K82" s="18" t="s">
        <v>7944</v>
      </c>
      <c r="L82" s="18" t="s">
        <v>9741</v>
      </c>
      <c r="M82" s="18"/>
      <c r="N82" s="18" t="s">
        <v>10</v>
      </c>
      <c r="O82" s="18" t="s">
        <v>10</v>
      </c>
      <c r="P82" s="18" t="s">
        <v>9742</v>
      </c>
      <c r="Q82" s="18" t="s">
        <v>33</v>
      </c>
      <c r="R82" s="18" t="s">
        <v>9743</v>
      </c>
      <c r="S82" s="1" t="s">
        <v>6243</v>
      </c>
      <c r="T82" s="1">
        <f t="shared" si="3"/>
        <v>593</v>
      </c>
      <c r="U82" s="1">
        <f t="shared" si="4"/>
        <v>593</v>
      </c>
      <c r="V82" s="1">
        <f>282+213+98</f>
        <v>593</v>
      </c>
    </row>
    <row r="83" spans="1:43" x14ac:dyDescent="0.2">
      <c r="A83" s="18" t="s">
        <v>1298</v>
      </c>
      <c r="B83" s="18">
        <v>22419666</v>
      </c>
      <c r="C83" s="18" t="s">
        <v>7421</v>
      </c>
      <c r="D83" s="18"/>
      <c r="E83" s="19">
        <v>584</v>
      </c>
      <c r="F83" s="18"/>
      <c r="G83" s="18" t="s">
        <v>9561</v>
      </c>
      <c r="H83" s="18" t="s">
        <v>6797</v>
      </c>
      <c r="I83" s="24">
        <v>40982</v>
      </c>
      <c r="J83" s="18" t="s">
        <v>11</v>
      </c>
      <c r="K83" s="18" t="s">
        <v>9562</v>
      </c>
      <c r="L83" s="18" t="s">
        <v>9563</v>
      </c>
      <c r="M83" s="18"/>
      <c r="N83" s="18" t="s">
        <v>11</v>
      </c>
      <c r="O83" s="18" t="s">
        <v>10</v>
      </c>
      <c r="P83" s="18" t="s">
        <v>9564</v>
      </c>
      <c r="Q83" s="18" t="s">
        <v>33</v>
      </c>
      <c r="R83" s="18" t="s">
        <v>10949</v>
      </c>
      <c r="S83" s="1" t="s">
        <v>6244</v>
      </c>
      <c r="T83" s="1">
        <f t="shared" si="3"/>
        <v>2458</v>
      </c>
      <c r="U83" s="1">
        <f t="shared" si="4"/>
        <v>2458</v>
      </c>
      <c r="V83" s="1">
        <v>1094</v>
      </c>
      <c r="X83" s="1">
        <v>1277</v>
      </c>
      <c r="AE83" s="1">
        <v>87</v>
      </c>
    </row>
    <row r="84" spans="1:43" x14ac:dyDescent="0.2">
      <c r="A84" s="18" t="s">
        <v>9013</v>
      </c>
      <c r="B84" s="18">
        <v>22419738</v>
      </c>
      <c r="C84" s="18" t="s">
        <v>7421</v>
      </c>
      <c r="D84" s="18"/>
      <c r="E84" s="19">
        <v>129</v>
      </c>
      <c r="F84" s="18"/>
      <c r="G84" s="18" t="s">
        <v>6755</v>
      </c>
      <c r="H84" s="18" t="s">
        <v>1414</v>
      </c>
      <c r="I84" s="24">
        <v>40981</v>
      </c>
      <c r="J84" s="18" t="s">
        <v>11</v>
      </c>
      <c r="K84" s="18" t="s">
        <v>103</v>
      </c>
      <c r="L84" s="18" t="s">
        <v>9014</v>
      </c>
      <c r="M84" s="18"/>
      <c r="N84" s="18" t="s">
        <v>10</v>
      </c>
      <c r="O84" s="18" t="s">
        <v>10</v>
      </c>
      <c r="P84" s="18" t="s">
        <v>9015</v>
      </c>
      <c r="Q84" s="18" t="s">
        <v>9016</v>
      </c>
      <c r="R84" s="18" t="s">
        <v>9017</v>
      </c>
      <c r="S84" s="1" t="s">
        <v>6242</v>
      </c>
      <c r="T84" s="1">
        <f t="shared" si="3"/>
        <v>17007</v>
      </c>
      <c r="U84" s="1">
        <f t="shared" si="4"/>
        <v>7993</v>
      </c>
      <c r="X84" s="1">
        <f>1394+6599</f>
        <v>7993</v>
      </c>
      <c r="AH84" s="1">
        <f>SUM(AI84:AT84)</f>
        <v>9014</v>
      </c>
      <c r="AK84" s="1">
        <f>1802+7212</f>
        <v>9014</v>
      </c>
    </row>
    <row r="85" spans="1:43" x14ac:dyDescent="0.2">
      <c r="A85" s="18" t="s">
        <v>10034</v>
      </c>
      <c r="B85" s="18">
        <v>22423221</v>
      </c>
      <c r="C85" s="18" t="s">
        <v>7421</v>
      </c>
      <c r="D85" s="18"/>
      <c r="E85" s="19">
        <v>306</v>
      </c>
      <c r="F85" s="18"/>
      <c r="G85" s="18" t="s">
        <v>6753</v>
      </c>
      <c r="H85" s="18" t="s">
        <v>7218</v>
      </c>
      <c r="I85" s="24">
        <v>40976</v>
      </c>
      <c r="J85" s="18" t="s">
        <v>11</v>
      </c>
      <c r="K85" s="18" t="s">
        <v>65</v>
      </c>
      <c r="L85" s="18" t="s">
        <v>10035</v>
      </c>
      <c r="M85" s="18"/>
      <c r="N85" s="18" t="s">
        <v>10</v>
      </c>
      <c r="O85" s="18" t="s">
        <v>10</v>
      </c>
      <c r="P85" s="18" t="s">
        <v>10036</v>
      </c>
      <c r="Q85" s="18" t="s">
        <v>33</v>
      </c>
      <c r="R85" s="18" t="s">
        <v>10037</v>
      </c>
      <c r="S85" s="1" t="s">
        <v>6440</v>
      </c>
      <c r="T85" s="1">
        <f t="shared" si="3"/>
        <v>16388</v>
      </c>
      <c r="U85" s="1">
        <f t="shared" si="4"/>
        <v>16388</v>
      </c>
      <c r="W85" s="1">
        <v>16388</v>
      </c>
    </row>
    <row r="86" spans="1:43" x14ac:dyDescent="0.2">
      <c r="A86" s="18" t="s">
        <v>9476</v>
      </c>
      <c r="B86" s="18">
        <v>22424883</v>
      </c>
      <c r="C86" s="18" t="s">
        <v>7421</v>
      </c>
      <c r="D86" s="18"/>
      <c r="E86" s="19">
        <v>10554</v>
      </c>
      <c r="F86" s="18"/>
      <c r="G86" s="18" t="s">
        <v>9477</v>
      </c>
      <c r="H86" s="18" t="s">
        <v>9478</v>
      </c>
      <c r="I86" s="24">
        <v>40983</v>
      </c>
      <c r="J86" s="18" t="s">
        <v>11</v>
      </c>
      <c r="K86" s="18" t="s">
        <v>1169</v>
      </c>
      <c r="L86" s="18" t="s">
        <v>9479</v>
      </c>
      <c r="M86" s="18"/>
      <c r="N86" s="18" t="s">
        <v>10</v>
      </c>
      <c r="O86" s="18" t="s">
        <v>10</v>
      </c>
      <c r="P86" s="18" t="s">
        <v>9480</v>
      </c>
      <c r="Q86" s="18" t="s">
        <v>9481</v>
      </c>
      <c r="R86" s="18" t="s">
        <v>667</v>
      </c>
      <c r="S86" s="1" t="s">
        <v>6243</v>
      </c>
      <c r="T86" s="1">
        <f t="shared" si="3"/>
        <v>16136</v>
      </c>
      <c r="U86" s="1">
        <f t="shared" si="4"/>
        <v>4118</v>
      </c>
      <c r="V86" s="1">
        <f>1441+2677</f>
        <v>4118</v>
      </c>
      <c r="AH86" s="1">
        <f>SUM(AI86:AT86)</f>
        <v>12018</v>
      </c>
      <c r="AI86" s="1">
        <f>1160+10858</f>
        <v>12018</v>
      </c>
    </row>
    <row r="87" spans="1:43" x14ac:dyDescent="0.2">
      <c r="A87" s="18" t="s">
        <v>8137</v>
      </c>
      <c r="B87" s="18">
        <v>22425255</v>
      </c>
      <c r="C87" s="18" t="s">
        <v>7421</v>
      </c>
      <c r="D87" s="18"/>
      <c r="E87" s="19">
        <v>586</v>
      </c>
      <c r="F87" s="18"/>
      <c r="G87" s="18" t="s">
        <v>8138</v>
      </c>
      <c r="H87" s="18" t="s">
        <v>8139</v>
      </c>
      <c r="I87" s="24">
        <v>40983</v>
      </c>
      <c r="J87" s="18" t="s">
        <v>11</v>
      </c>
      <c r="K87" s="18" t="s">
        <v>1485</v>
      </c>
      <c r="L87" s="18" t="s">
        <v>8140</v>
      </c>
      <c r="M87" s="18"/>
      <c r="N87" s="18" t="s">
        <v>10</v>
      </c>
      <c r="O87" s="18" t="s">
        <v>10</v>
      </c>
      <c r="P87" s="18" t="s">
        <v>8141</v>
      </c>
      <c r="Q87" s="18" t="s">
        <v>33</v>
      </c>
      <c r="R87" s="18" t="s">
        <v>8142</v>
      </c>
      <c r="S87" s="1" t="s">
        <v>6243</v>
      </c>
      <c r="T87" s="1">
        <f t="shared" si="3"/>
        <v>535</v>
      </c>
      <c r="U87" s="1">
        <f t="shared" si="4"/>
        <v>535</v>
      </c>
      <c r="V87" s="1">
        <v>535</v>
      </c>
    </row>
    <row r="88" spans="1:43" x14ac:dyDescent="0.2">
      <c r="A88" s="18" t="s">
        <v>1563</v>
      </c>
      <c r="B88" s="18">
        <v>22426144</v>
      </c>
      <c r="C88" s="18" t="s">
        <v>7421</v>
      </c>
      <c r="D88" s="18"/>
      <c r="E88" s="19">
        <v>101</v>
      </c>
      <c r="F88" s="18"/>
      <c r="G88" s="18" t="s">
        <v>2356</v>
      </c>
      <c r="H88" s="18" t="s">
        <v>6681</v>
      </c>
      <c r="I88" s="24">
        <v>40984</v>
      </c>
      <c r="J88" s="18" t="s">
        <v>11</v>
      </c>
      <c r="K88" s="18" t="s">
        <v>1396</v>
      </c>
      <c r="L88" s="18" t="s">
        <v>8730</v>
      </c>
      <c r="M88" s="18"/>
      <c r="N88" s="18" t="s">
        <v>11</v>
      </c>
      <c r="O88" s="18" t="s">
        <v>11</v>
      </c>
      <c r="P88" s="18" t="s">
        <v>8731</v>
      </c>
      <c r="Q88" s="18" t="s">
        <v>8732</v>
      </c>
      <c r="R88" s="18" t="s">
        <v>8733</v>
      </c>
      <c r="S88" s="1" t="s">
        <v>6244</v>
      </c>
      <c r="T88" s="1">
        <f t="shared" si="3"/>
        <v>25088</v>
      </c>
      <c r="U88" s="1">
        <f t="shared" si="4"/>
        <v>3514</v>
      </c>
      <c r="X88" s="1">
        <f>832+2682</f>
        <v>3514</v>
      </c>
      <c r="AH88" s="1">
        <f>SUM(AI88:AT88)</f>
        <v>21574</v>
      </c>
      <c r="AI88" s="1">
        <f>12936+6864</f>
        <v>19800</v>
      </c>
      <c r="AK88" s="1">
        <f>978+796</f>
        <v>1774</v>
      </c>
    </row>
    <row r="89" spans="1:43" x14ac:dyDescent="0.2">
      <c r="A89" s="18" t="s">
        <v>8993</v>
      </c>
      <c r="B89" s="18">
        <v>22428042</v>
      </c>
      <c r="C89" s="18" t="s">
        <v>7421</v>
      </c>
      <c r="D89" s="18"/>
      <c r="E89" s="19">
        <v>72</v>
      </c>
      <c r="F89" s="18"/>
      <c r="G89" s="18" t="s">
        <v>8994</v>
      </c>
      <c r="H89" s="18" t="s">
        <v>1414</v>
      </c>
      <c r="I89" s="24">
        <v>40980</v>
      </c>
      <c r="J89" s="18" t="s">
        <v>11</v>
      </c>
      <c r="K89" s="18" t="s">
        <v>181</v>
      </c>
      <c r="L89" s="18" t="s">
        <v>8995</v>
      </c>
      <c r="M89" s="18"/>
      <c r="N89" s="18" t="s">
        <v>10</v>
      </c>
      <c r="O89" s="18" t="s">
        <v>10</v>
      </c>
      <c r="P89" s="18" t="s">
        <v>8996</v>
      </c>
      <c r="Q89" s="18" t="s">
        <v>8997</v>
      </c>
      <c r="R89" s="18" t="s">
        <v>8998</v>
      </c>
      <c r="S89" s="1" t="s">
        <v>6242</v>
      </c>
      <c r="T89" s="1">
        <f t="shared" si="3"/>
        <v>2219</v>
      </c>
      <c r="U89" s="1">
        <f t="shared" si="4"/>
        <v>1519</v>
      </c>
      <c r="X89" s="1">
        <f>833+686</f>
        <v>1519</v>
      </c>
      <c r="AH89" s="1">
        <f>SUM(AI89:AT89)</f>
        <v>700</v>
      </c>
      <c r="AK89" s="1">
        <f>411+289</f>
        <v>700</v>
      </c>
    </row>
    <row r="90" spans="1:43" x14ac:dyDescent="0.2">
      <c r="A90" s="18" t="s">
        <v>1077</v>
      </c>
      <c r="B90" s="18">
        <v>22430674</v>
      </c>
      <c r="C90" s="18" t="s">
        <v>7421</v>
      </c>
      <c r="D90" s="18"/>
      <c r="E90" s="19">
        <v>10</v>
      </c>
      <c r="F90" s="18"/>
      <c r="G90" s="18" t="s">
        <v>89</v>
      </c>
      <c r="H90" s="18" t="s">
        <v>7126</v>
      </c>
      <c r="I90" s="24">
        <v>40988</v>
      </c>
      <c r="J90" s="18" t="s">
        <v>11</v>
      </c>
      <c r="K90" s="18" t="s">
        <v>71</v>
      </c>
      <c r="L90" s="18" t="s">
        <v>7620</v>
      </c>
      <c r="M90" s="18"/>
      <c r="N90" s="18" t="s">
        <v>10</v>
      </c>
      <c r="O90" s="18" t="s">
        <v>10</v>
      </c>
      <c r="P90" s="18" t="s">
        <v>7621</v>
      </c>
      <c r="Q90" s="18" t="s">
        <v>7622</v>
      </c>
      <c r="R90" s="18" t="s">
        <v>7623</v>
      </c>
      <c r="S90" s="1" t="s">
        <v>6243</v>
      </c>
      <c r="T90" s="1">
        <f t="shared" si="3"/>
        <v>25683</v>
      </c>
      <c r="U90" s="1">
        <f t="shared" si="4"/>
        <v>7353</v>
      </c>
      <c r="V90" s="1">
        <f>2025+5328</f>
        <v>7353</v>
      </c>
      <c r="AH90" s="1">
        <f>SUM(AI90:AT90)</f>
        <v>18330</v>
      </c>
      <c r="AI90" s="1">
        <f>7913+10417</f>
        <v>18330</v>
      </c>
    </row>
    <row r="91" spans="1:43" x14ac:dyDescent="0.2">
      <c r="A91" s="18" t="s">
        <v>2606</v>
      </c>
      <c r="B91" s="18">
        <v>22432041</v>
      </c>
      <c r="C91" s="18" t="s">
        <v>7421</v>
      </c>
      <c r="D91" s="18"/>
      <c r="E91" s="19">
        <v>17</v>
      </c>
      <c r="F91" s="18"/>
      <c r="G91" s="18" t="s">
        <v>10081</v>
      </c>
      <c r="H91" s="18" t="s">
        <v>10082</v>
      </c>
      <c r="I91" s="24">
        <v>40982</v>
      </c>
      <c r="J91" s="18" t="s">
        <v>11</v>
      </c>
      <c r="K91" s="18" t="s">
        <v>181</v>
      </c>
      <c r="L91" s="18" t="s">
        <v>10087</v>
      </c>
      <c r="M91" s="18"/>
      <c r="N91" s="18" t="s">
        <v>11</v>
      </c>
      <c r="O91" s="18" t="s">
        <v>11</v>
      </c>
      <c r="P91" s="18" t="s">
        <v>10088</v>
      </c>
      <c r="Q91" s="18" t="s">
        <v>10089</v>
      </c>
      <c r="R91" s="18" t="s">
        <v>10090</v>
      </c>
      <c r="S91" s="1" t="s">
        <v>6243</v>
      </c>
      <c r="T91" s="1">
        <f t="shared" si="3"/>
        <v>5994</v>
      </c>
      <c r="U91" s="1">
        <f t="shared" si="4"/>
        <v>1078</v>
      </c>
      <c r="V91" s="1">
        <f>538+540</f>
        <v>1078</v>
      </c>
      <c r="AH91" s="1">
        <f>SUM(AI91:AT91)</f>
        <v>4916</v>
      </c>
      <c r="AI91" s="1">
        <f>1894+3022</f>
        <v>4916</v>
      </c>
    </row>
    <row r="92" spans="1:43" x14ac:dyDescent="0.2">
      <c r="A92" s="18" t="s">
        <v>9960</v>
      </c>
      <c r="B92" s="18">
        <v>22437316</v>
      </c>
      <c r="C92" s="18" t="s">
        <v>7421</v>
      </c>
      <c r="D92" s="18"/>
      <c r="E92" s="19">
        <v>76</v>
      </c>
      <c r="F92" s="18"/>
      <c r="G92" s="18" t="s">
        <v>9961</v>
      </c>
      <c r="H92" s="18" t="s">
        <v>9962</v>
      </c>
      <c r="I92" s="24">
        <v>40990</v>
      </c>
      <c r="J92" s="18" t="s">
        <v>11</v>
      </c>
      <c r="K92" s="18" t="s">
        <v>811</v>
      </c>
      <c r="L92" s="18" t="s">
        <v>9963</v>
      </c>
      <c r="M92" s="18"/>
      <c r="N92" s="18" t="s">
        <v>10</v>
      </c>
      <c r="O92" s="18" t="s">
        <v>10</v>
      </c>
      <c r="P92" s="18" t="s">
        <v>9964</v>
      </c>
      <c r="Q92" s="18" t="s">
        <v>9965</v>
      </c>
      <c r="R92" s="18" t="s">
        <v>9966</v>
      </c>
      <c r="S92" s="1" t="s">
        <v>6244</v>
      </c>
      <c r="T92" s="1">
        <f t="shared" si="3"/>
        <v>1612</v>
      </c>
      <c r="U92" s="1">
        <f t="shared" si="4"/>
        <v>497</v>
      </c>
      <c r="V92" s="1">
        <f>100+397</f>
        <v>497</v>
      </c>
      <c r="AH92" s="1">
        <f>SUM(AI92:AT92)</f>
        <v>1115</v>
      </c>
      <c r="AI92" s="1">
        <f>59+285+124+275</f>
        <v>743</v>
      </c>
      <c r="AP92" s="1">
        <f>126+246</f>
        <v>372</v>
      </c>
    </row>
    <row r="93" spans="1:43" x14ac:dyDescent="0.2">
      <c r="A93" s="18" t="s">
        <v>2532</v>
      </c>
      <c r="B93" s="18">
        <v>22437554</v>
      </c>
      <c r="C93" s="18" t="s">
        <v>7421</v>
      </c>
      <c r="D93" s="18"/>
      <c r="E93" s="19">
        <v>51</v>
      </c>
      <c r="F93" s="18"/>
      <c r="G93" s="18" t="s">
        <v>7609</v>
      </c>
      <c r="H93" s="18" t="s">
        <v>7610</v>
      </c>
      <c r="I93" s="24">
        <v>40989</v>
      </c>
      <c r="J93" s="18" t="s">
        <v>11</v>
      </c>
      <c r="K93" s="18" t="s">
        <v>7611</v>
      </c>
      <c r="L93" s="18" t="s">
        <v>7612</v>
      </c>
      <c r="M93" s="18"/>
      <c r="N93" s="18" t="s">
        <v>11</v>
      </c>
      <c r="O93" s="18" t="s">
        <v>11</v>
      </c>
      <c r="P93" s="18" t="s">
        <v>7613</v>
      </c>
      <c r="Q93" s="18" t="s">
        <v>33</v>
      </c>
      <c r="R93" s="18" t="s">
        <v>7614</v>
      </c>
      <c r="S93" s="1" t="s">
        <v>6243</v>
      </c>
      <c r="T93" s="1">
        <f t="shared" si="3"/>
        <v>2112</v>
      </c>
      <c r="U93" s="1">
        <f t="shared" si="4"/>
        <v>2112</v>
      </c>
      <c r="V93" s="1">
        <v>2112</v>
      </c>
    </row>
    <row r="94" spans="1:43" x14ac:dyDescent="0.2">
      <c r="A94" s="18" t="s">
        <v>9941</v>
      </c>
      <c r="B94" s="18">
        <v>22438815</v>
      </c>
      <c r="C94" s="18" t="s">
        <v>7421</v>
      </c>
      <c r="D94" s="18"/>
      <c r="E94" s="19">
        <v>209</v>
      </c>
      <c r="F94" s="18"/>
      <c r="G94" s="18" t="s">
        <v>19</v>
      </c>
      <c r="H94" s="18" t="s">
        <v>7195</v>
      </c>
      <c r="I94" s="24">
        <v>40983</v>
      </c>
      <c r="J94" s="18" t="s">
        <v>11</v>
      </c>
      <c r="K94" s="18" t="s">
        <v>65</v>
      </c>
      <c r="L94" s="18" t="s">
        <v>9942</v>
      </c>
      <c r="M94" s="18"/>
      <c r="N94" s="18" t="s">
        <v>10</v>
      </c>
      <c r="O94" s="18" t="s">
        <v>10</v>
      </c>
      <c r="P94" s="18" t="s">
        <v>9943</v>
      </c>
      <c r="Q94" s="18" t="s">
        <v>9944</v>
      </c>
      <c r="R94" s="18" t="s">
        <v>9945</v>
      </c>
      <c r="S94" s="1" t="s">
        <v>6244</v>
      </c>
      <c r="T94" s="1">
        <f t="shared" si="3"/>
        <v>102338</v>
      </c>
      <c r="U94" s="1">
        <f t="shared" si="4"/>
        <v>4258</v>
      </c>
      <c r="AD94" s="1">
        <f>2197+2061</f>
        <v>4258</v>
      </c>
      <c r="AH94" s="1">
        <f>SUM(AI94:AT94)</f>
        <v>98080</v>
      </c>
      <c r="AQ94" s="1">
        <v>98080</v>
      </c>
    </row>
    <row r="95" spans="1:43" x14ac:dyDescent="0.2">
      <c r="A95" s="18" t="s">
        <v>1431</v>
      </c>
      <c r="B95" s="18">
        <v>22440650</v>
      </c>
      <c r="C95" s="18" t="s">
        <v>7421</v>
      </c>
      <c r="D95" s="18"/>
      <c r="E95" s="19">
        <v>257</v>
      </c>
      <c r="F95" s="18"/>
      <c r="G95" s="18" t="s">
        <v>10430</v>
      </c>
      <c r="H95" s="18" t="s">
        <v>10431</v>
      </c>
      <c r="I95" s="24">
        <v>40981</v>
      </c>
      <c r="J95" s="18" t="s">
        <v>10</v>
      </c>
      <c r="K95" s="18" t="s">
        <v>1288</v>
      </c>
      <c r="L95" s="18" t="s">
        <v>10432</v>
      </c>
      <c r="M95" s="18"/>
      <c r="N95" s="18" t="s">
        <v>10</v>
      </c>
      <c r="O95" s="18" t="s">
        <v>10</v>
      </c>
      <c r="P95" s="18" t="s">
        <v>10433</v>
      </c>
      <c r="Q95" s="18" t="s">
        <v>33</v>
      </c>
      <c r="R95" s="18" t="s">
        <v>10434</v>
      </c>
      <c r="S95" s="1" t="s">
        <v>6244</v>
      </c>
      <c r="T95" s="1">
        <f t="shared" si="3"/>
        <v>208</v>
      </c>
      <c r="U95" s="1">
        <f t="shared" si="4"/>
        <v>208</v>
      </c>
      <c r="V95" s="1">
        <f>72+105</f>
        <v>177</v>
      </c>
      <c r="W95" s="1">
        <v>17</v>
      </c>
      <c r="X95" s="1">
        <v>11</v>
      </c>
      <c r="AA95" s="1">
        <v>2</v>
      </c>
      <c r="AD95" s="1">
        <v>1</v>
      </c>
    </row>
    <row r="96" spans="1:43" x14ac:dyDescent="0.2">
      <c r="A96" s="18" t="s">
        <v>9716</v>
      </c>
      <c r="B96" s="18">
        <v>22443383</v>
      </c>
      <c r="C96" s="18" t="s">
        <v>7421</v>
      </c>
      <c r="D96" s="18"/>
      <c r="E96" s="19">
        <v>51</v>
      </c>
      <c r="F96" s="18"/>
      <c r="G96" s="18" t="s">
        <v>9717</v>
      </c>
      <c r="H96" s="18" t="s">
        <v>9718</v>
      </c>
      <c r="I96" s="24">
        <v>40924</v>
      </c>
      <c r="J96" s="18" t="s">
        <v>11</v>
      </c>
      <c r="K96" s="18" t="s">
        <v>9107</v>
      </c>
      <c r="L96" s="18" t="s">
        <v>9719</v>
      </c>
      <c r="M96" s="18"/>
      <c r="N96" s="18" t="s">
        <v>10</v>
      </c>
      <c r="O96" s="18" t="s">
        <v>10</v>
      </c>
      <c r="P96" s="18" t="s">
        <v>9720</v>
      </c>
      <c r="Q96" s="18" t="s">
        <v>33</v>
      </c>
      <c r="R96" s="18" t="s">
        <v>9721</v>
      </c>
      <c r="S96" s="1" t="s">
        <v>6243</v>
      </c>
      <c r="T96" s="1">
        <f t="shared" si="3"/>
        <v>951</v>
      </c>
      <c r="U96" s="1">
        <f t="shared" si="4"/>
        <v>951</v>
      </c>
      <c r="V96" s="1">
        <v>951</v>
      </c>
    </row>
    <row r="97" spans="1:37" x14ac:dyDescent="0.2">
      <c r="A97" s="18" t="s">
        <v>10538</v>
      </c>
      <c r="B97" s="18">
        <v>22445761</v>
      </c>
      <c r="C97" s="18" t="s">
        <v>7421</v>
      </c>
      <c r="D97" s="18"/>
      <c r="E97" s="19">
        <v>54</v>
      </c>
      <c r="F97" s="18"/>
      <c r="G97" s="18" t="s">
        <v>10539</v>
      </c>
      <c r="H97" s="18" t="s">
        <v>10540</v>
      </c>
      <c r="I97" s="24">
        <v>40991</v>
      </c>
      <c r="J97" s="18" t="s">
        <v>11</v>
      </c>
      <c r="K97" s="18" t="s">
        <v>7944</v>
      </c>
      <c r="L97" s="18" t="s">
        <v>10541</v>
      </c>
      <c r="M97" s="18"/>
      <c r="N97" s="18" t="s">
        <v>10</v>
      </c>
      <c r="O97" s="18" t="s">
        <v>10</v>
      </c>
      <c r="P97" s="18" t="s">
        <v>10542</v>
      </c>
      <c r="Q97" s="18" t="s">
        <v>33</v>
      </c>
      <c r="R97" s="18" t="s">
        <v>10543</v>
      </c>
      <c r="S97" s="1" t="s">
        <v>6242</v>
      </c>
      <c r="T97" s="1">
        <f t="shared" si="3"/>
        <v>201</v>
      </c>
      <c r="U97" s="1">
        <f t="shared" si="4"/>
        <v>201</v>
      </c>
      <c r="X97" s="1">
        <v>201</v>
      </c>
    </row>
    <row r="98" spans="1:37" x14ac:dyDescent="0.2">
      <c r="A98" s="18" t="s">
        <v>1298</v>
      </c>
      <c r="B98" s="18">
        <v>22445811</v>
      </c>
      <c r="C98" s="18" t="s">
        <v>7421</v>
      </c>
      <c r="D98" s="18"/>
      <c r="E98" s="19">
        <v>42</v>
      </c>
      <c r="F98" s="18"/>
      <c r="G98" s="18" t="s">
        <v>1387</v>
      </c>
      <c r="H98" s="18" t="s">
        <v>2428</v>
      </c>
      <c r="I98" s="24">
        <v>40991</v>
      </c>
      <c r="J98" s="18" t="s">
        <v>10</v>
      </c>
      <c r="K98" s="18" t="s">
        <v>1485</v>
      </c>
      <c r="L98" s="18" t="s">
        <v>9403</v>
      </c>
      <c r="M98" s="18"/>
      <c r="N98" s="18" t="s">
        <v>10</v>
      </c>
      <c r="O98" s="18" t="s">
        <v>10</v>
      </c>
      <c r="P98" s="18" t="s">
        <v>9404</v>
      </c>
      <c r="Q98" s="18" t="s">
        <v>33</v>
      </c>
      <c r="R98" s="18" t="s">
        <v>9405</v>
      </c>
      <c r="S98" s="1" t="s">
        <v>6243</v>
      </c>
      <c r="T98" s="1">
        <f t="shared" si="3"/>
        <v>1364</v>
      </c>
      <c r="U98" s="1">
        <f t="shared" si="4"/>
        <v>1364</v>
      </c>
      <c r="V98" s="1">
        <f>1031+333</f>
        <v>1364</v>
      </c>
    </row>
    <row r="99" spans="1:37" x14ac:dyDescent="0.2">
      <c r="A99" s="18" t="s">
        <v>1543</v>
      </c>
      <c r="B99" s="18">
        <v>22446040</v>
      </c>
      <c r="C99" s="18" t="s">
        <v>7421</v>
      </c>
      <c r="D99" s="18"/>
      <c r="E99" s="19">
        <v>33</v>
      </c>
      <c r="F99" s="18"/>
      <c r="G99" s="18" t="s">
        <v>370</v>
      </c>
      <c r="H99" s="18" t="s">
        <v>7229</v>
      </c>
      <c r="I99" s="24">
        <v>40984</v>
      </c>
      <c r="J99" s="18" t="s">
        <v>11</v>
      </c>
      <c r="K99" s="18" t="s">
        <v>8038</v>
      </c>
      <c r="L99" s="18" t="s">
        <v>8039</v>
      </c>
      <c r="M99" s="18"/>
      <c r="N99" s="18" t="s">
        <v>10</v>
      </c>
      <c r="O99" s="18" t="s">
        <v>10</v>
      </c>
      <c r="P99" s="18" t="s">
        <v>8040</v>
      </c>
      <c r="Q99" s="18" t="s">
        <v>8041</v>
      </c>
      <c r="R99" s="18" t="s">
        <v>8042</v>
      </c>
      <c r="S99" s="1" t="s">
        <v>6243</v>
      </c>
      <c r="T99" s="1">
        <f t="shared" si="3"/>
        <v>5980</v>
      </c>
      <c r="U99" s="1">
        <f t="shared" si="4"/>
        <v>5218</v>
      </c>
      <c r="V99" s="1">
        <v>5218</v>
      </c>
      <c r="AH99" s="1">
        <f>SUM(AI99:AT99)</f>
        <v>762</v>
      </c>
      <c r="AI99" s="1">
        <v>762</v>
      </c>
    </row>
    <row r="100" spans="1:37" x14ac:dyDescent="0.2">
      <c r="A100" s="18" t="s">
        <v>1435</v>
      </c>
      <c r="B100" s="18">
        <v>22446961</v>
      </c>
      <c r="C100" s="18" t="s">
        <v>7421</v>
      </c>
      <c r="D100" s="18"/>
      <c r="E100" s="19">
        <v>101</v>
      </c>
      <c r="F100" s="18"/>
      <c r="G100" s="18" t="s">
        <v>678</v>
      </c>
      <c r="H100" s="18" t="s">
        <v>8522</v>
      </c>
      <c r="I100" s="24">
        <v>40993</v>
      </c>
      <c r="J100" s="18" t="s">
        <v>11</v>
      </c>
      <c r="K100" s="18" t="s">
        <v>28</v>
      </c>
      <c r="L100" s="18" t="s">
        <v>9321</v>
      </c>
      <c r="M100" s="18"/>
      <c r="N100" s="18" t="s">
        <v>10</v>
      </c>
      <c r="O100" s="18" t="s">
        <v>10</v>
      </c>
      <c r="P100" s="18" t="s">
        <v>9322</v>
      </c>
      <c r="Q100" s="18" t="s">
        <v>9323</v>
      </c>
      <c r="R100" s="18" t="s">
        <v>9324</v>
      </c>
      <c r="S100" s="1" t="s">
        <v>6242</v>
      </c>
      <c r="T100" s="1">
        <f t="shared" si="3"/>
        <v>2540</v>
      </c>
      <c r="U100" s="1">
        <f t="shared" si="4"/>
        <v>1729</v>
      </c>
      <c r="X100" s="1">
        <f>622+1107</f>
        <v>1729</v>
      </c>
      <c r="AH100" s="1">
        <f>SUM(AI100:AT100)</f>
        <v>811</v>
      </c>
      <c r="AK100" s="1">
        <f>261+550</f>
        <v>811</v>
      </c>
    </row>
    <row r="101" spans="1:37" x14ac:dyDescent="0.2">
      <c r="A101" s="18" t="s">
        <v>9325</v>
      </c>
      <c r="B101" s="18">
        <v>22446962</v>
      </c>
      <c r="C101" s="18" t="s">
        <v>7421</v>
      </c>
      <c r="D101" s="18"/>
      <c r="E101" s="19">
        <v>266</v>
      </c>
      <c r="F101" s="18"/>
      <c r="G101" s="18" t="s">
        <v>678</v>
      </c>
      <c r="H101" s="18" t="s">
        <v>8522</v>
      </c>
      <c r="I101" s="24">
        <v>40993</v>
      </c>
      <c r="J101" s="18" t="s">
        <v>11</v>
      </c>
      <c r="K101" s="18" t="s">
        <v>28</v>
      </c>
      <c r="L101" s="18" t="s">
        <v>9326</v>
      </c>
      <c r="M101" s="18"/>
      <c r="N101" s="18" t="s">
        <v>10</v>
      </c>
      <c r="O101" s="18" t="s">
        <v>10</v>
      </c>
      <c r="P101" s="18" t="s">
        <v>9327</v>
      </c>
      <c r="Q101" s="18" t="s">
        <v>9328</v>
      </c>
      <c r="R101" s="18" t="s">
        <v>9329</v>
      </c>
      <c r="S101" s="1" t="s">
        <v>6242</v>
      </c>
      <c r="T101" s="1">
        <f t="shared" si="3"/>
        <v>5508</v>
      </c>
      <c r="U101" s="1">
        <f t="shared" si="4"/>
        <v>3807</v>
      </c>
      <c r="X101" s="1">
        <f>428+3379</f>
        <v>3807</v>
      </c>
      <c r="AH101" s="1">
        <f>SUM(AI101:AT101)</f>
        <v>1701</v>
      </c>
      <c r="AK101" s="1">
        <f>754+947</f>
        <v>1701</v>
      </c>
    </row>
    <row r="102" spans="1:37" x14ac:dyDescent="0.2">
      <c r="A102" s="18" t="s">
        <v>1326</v>
      </c>
      <c r="B102" s="18">
        <v>22446963</v>
      </c>
      <c r="C102" s="18" t="s">
        <v>7421</v>
      </c>
      <c r="D102" s="18"/>
      <c r="E102" s="19">
        <v>74</v>
      </c>
      <c r="F102" s="18"/>
      <c r="G102" s="18" t="s">
        <v>48</v>
      </c>
      <c r="H102" s="18" t="s">
        <v>7340</v>
      </c>
      <c r="I102" s="24">
        <v>40993</v>
      </c>
      <c r="J102" s="18" t="s">
        <v>11</v>
      </c>
      <c r="K102" s="18" t="s">
        <v>28</v>
      </c>
      <c r="L102" s="18" t="s">
        <v>10360</v>
      </c>
      <c r="M102" s="18"/>
      <c r="N102" s="18" t="s">
        <v>10</v>
      </c>
      <c r="O102" s="18" t="s">
        <v>10</v>
      </c>
      <c r="P102" s="18" t="s">
        <v>10361</v>
      </c>
      <c r="Q102" s="18" t="s">
        <v>10362</v>
      </c>
      <c r="R102" s="18" t="s">
        <v>10363</v>
      </c>
      <c r="S102" s="1" t="s">
        <v>6242</v>
      </c>
      <c r="T102" s="1">
        <f t="shared" si="3"/>
        <v>47926</v>
      </c>
      <c r="U102" s="1">
        <f t="shared" si="4"/>
        <v>20965</v>
      </c>
      <c r="X102" s="1">
        <f>4074+16891</f>
        <v>20965</v>
      </c>
      <c r="AH102" s="1">
        <f>SUM(AI102:AT102)</f>
        <v>26961</v>
      </c>
      <c r="AK102" s="1">
        <f>5277+21684</f>
        <v>26961</v>
      </c>
    </row>
    <row r="103" spans="1:37" x14ac:dyDescent="0.2">
      <c r="A103" s="18" t="s">
        <v>8955</v>
      </c>
      <c r="B103" s="18">
        <v>22447449</v>
      </c>
      <c r="C103" s="18" t="s">
        <v>7421</v>
      </c>
      <c r="D103" s="18"/>
      <c r="E103" s="19">
        <v>27</v>
      </c>
      <c r="F103" s="18">
        <v>1</v>
      </c>
      <c r="G103" s="18" t="s">
        <v>2418</v>
      </c>
      <c r="H103" s="18" t="s">
        <v>7359</v>
      </c>
      <c r="I103" s="24">
        <v>40992</v>
      </c>
      <c r="J103" s="18" t="s">
        <v>10</v>
      </c>
      <c r="K103" s="18" t="s">
        <v>8905</v>
      </c>
      <c r="L103" s="18" t="s">
        <v>8956</v>
      </c>
      <c r="M103" s="18"/>
      <c r="N103" s="18" t="s">
        <v>10</v>
      </c>
      <c r="O103" s="18" t="s">
        <v>10</v>
      </c>
      <c r="P103" s="18" t="s">
        <v>8957</v>
      </c>
      <c r="Q103" s="18" t="s">
        <v>33</v>
      </c>
      <c r="R103" s="18" t="s">
        <v>10940</v>
      </c>
      <c r="S103" s="1" t="s">
        <v>6248</v>
      </c>
      <c r="T103" s="1">
        <f t="shared" si="3"/>
        <v>371</v>
      </c>
      <c r="U103" s="1">
        <f t="shared" si="4"/>
        <v>371</v>
      </c>
      <c r="AE103" s="1">
        <v>371</v>
      </c>
    </row>
    <row r="104" spans="1:37" x14ac:dyDescent="0.2">
      <c r="A104" s="18" t="s">
        <v>9177</v>
      </c>
      <c r="B104" s="18">
        <v>22449649</v>
      </c>
      <c r="C104" s="18" t="s">
        <v>7421</v>
      </c>
      <c r="D104" s="18"/>
      <c r="E104" s="19">
        <v>11</v>
      </c>
      <c r="F104" s="18"/>
      <c r="G104" s="18" t="s">
        <v>9178</v>
      </c>
      <c r="H104" s="18" t="s">
        <v>9179</v>
      </c>
      <c r="I104" s="24">
        <v>40967</v>
      </c>
      <c r="J104" s="18" t="s">
        <v>11</v>
      </c>
      <c r="K104" s="18" t="s">
        <v>1243</v>
      </c>
      <c r="L104" s="18" t="s">
        <v>9180</v>
      </c>
      <c r="M104" s="18"/>
      <c r="N104" s="18" t="s">
        <v>10</v>
      </c>
      <c r="O104" s="18" t="s">
        <v>10</v>
      </c>
      <c r="P104" s="18" t="s">
        <v>9181</v>
      </c>
      <c r="Q104" s="18" t="s">
        <v>33</v>
      </c>
      <c r="R104" s="18" t="s">
        <v>9182</v>
      </c>
      <c r="S104" s="1" t="s">
        <v>6243</v>
      </c>
      <c r="T104" s="1">
        <f t="shared" si="3"/>
        <v>656</v>
      </c>
      <c r="U104" s="1">
        <f t="shared" si="4"/>
        <v>656</v>
      </c>
      <c r="V104" s="1">
        <v>656</v>
      </c>
    </row>
    <row r="105" spans="1:37" x14ac:dyDescent="0.2">
      <c r="A105" s="18" t="s">
        <v>9946</v>
      </c>
      <c r="B105" s="18">
        <v>22451204</v>
      </c>
      <c r="C105" s="18" t="s">
        <v>7421</v>
      </c>
      <c r="D105" s="18"/>
      <c r="E105" s="19">
        <v>128394</v>
      </c>
      <c r="F105" s="18"/>
      <c r="G105" s="18" t="s">
        <v>19</v>
      </c>
      <c r="H105" s="18" t="s">
        <v>7195</v>
      </c>
      <c r="I105" s="24">
        <v>41710</v>
      </c>
      <c r="J105" s="18" t="s">
        <v>11</v>
      </c>
      <c r="K105" s="18" t="s">
        <v>549</v>
      </c>
      <c r="L105" s="18" t="s">
        <v>9947</v>
      </c>
      <c r="M105" s="18"/>
      <c r="N105" s="18" t="s">
        <v>10</v>
      </c>
      <c r="O105" s="18" t="s">
        <v>10</v>
      </c>
      <c r="P105" s="18" t="s">
        <v>9948</v>
      </c>
      <c r="Q105" s="18" t="s">
        <v>9949</v>
      </c>
      <c r="R105" s="18" t="s">
        <v>8493</v>
      </c>
      <c r="S105" s="1" t="s">
        <v>6243</v>
      </c>
      <c r="T105" s="1">
        <f t="shared" si="3"/>
        <v>14326</v>
      </c>
      <c r="U105" s="1">
        <f t="shared" si="4"/>
        <v>8477</v>
      </c>
      <c r="V105" s="1">
        <f>4238+4239</f>
        <v>8477</v>
      </c>
      <c r="AH105" s="1">
        <f t="shared" ref="AH105:AH111" si="5">SUM(AI105:AT105)</f>
        <v>5849</v>
      </c>
      <c r="AI105" s="1">
        <f>3738+2111</f>
        <v>5849</v>
      </c>
    </row>
    <row r="106" spans="1:37" x14ac:dyDescent="0.2">
      <c r="A106" s="18" t="s">
        <v>1135</v>
      </c>
      <c r="B106" s="18">
        <v>22452962</v>
      </c>
      <c r="C106" s="18" t="s">
        <v>7421</v>
      </c>
      <c r="D106" s="18"/>
      <c r="E106" s="19">
        <v>75</v>
      </c>
      <c r="F106" s="18"/>
      <c r="G106" s="18" t="s">
        <v>119</v>
      </c>
      <c r="H106" s="18" t="s">
        <v>6675</v>
      </c>
      <c r="I106" s="24">
        <v>40995</v>
      </c>
      <c r="J106" s="18" t="s">
        <v>11</v>
      </c>
      <c r="K106" s="18" t="s">
        <v>1947</v>
      </c>
      <c r="L106" s="18" t="s">
        <v>8167</v>
      </c>
      <c r="M106" s="18"/>
      <c r="N106" s="18" t="s">
        <v>11</v>
      </c>
      <c r="O106" s="18" t="s">
        <v>11</v>
      </c>
      <c r="P106" s="18" t="s">
        <v>8168</v>
      </c>
      <c r="Q106" s="18" t="s">
        <v>8169</v>
      </c>
      <c r="R106" s="18" t="s">
        <v>8170</v>
      </c>
      <c r="S106" s="1" t="s">
        <v>6242</v>
      </c>
      <c r="T106" s="1">
        <f t="shared" si="3"/>
        <v>12219</v>
      </c>
      <c r="U106" s="1">
        <f t="shared" si="4"/>
        <v>4325</v>
      </c>
      <c r="X106" s="1">
        <f>2273+2052</f>
        <v>4325</v>
      </c>
      <c r="AH106" s="1">
        <f t="shared" si="5"/>
        <v>7894</v>
      </c>
      <c r="AK106" s="1">
        <f>4049+3845</f>
        <v>7894</v>
      </c>
    </row>
    <row r="107" spans="1:37" x14ac:dyDescent="0.2">
      <c r="A107" s="18" t="s">
        <v>10056</v>
      </c>
      <c r="B107" s="18">
        <v>22455414</v>
      </c>
      <c r="C107" s="18" t="s">
        <v>7421</v>
      </c>
      <c r="D107" s="18"/>
      <c r="E107" s="19">
        <v>22</v>
      </c>
      <c r="F107" s="18"/>
      <c r="G107" s="18" t="s">
        <v>10057</v>
      </c>
      <c r="H107" s="18" t="s">
        <v>10058</v>
      </c>
      <c r="I107" s="24">
        <v>40997</v>
      </c>
      <c r="J107" s="18" t="s">
        <v>11</v>
      </c>
      <c r="K107" s="18" t="s">
        <v>157</v>
      </c>
      <c r="L107" s="18" t="s">
        <v>10059</v>
      </c>
      <c r="M107" s="18"/>
      <c r="N107" s="18" t="s">
        <v>10</v>
      </c>
      <c r="O107" s="18" t="s">
        <v>10</v>
      </c>
      <c r="P107" s="18" t="s">
        <v>10060</v>
      </c>
      <c r="Q107" s="18" t="s">
        <v>10061</v>
      </c>
      <c r="R107" s="18" t="s">
        <v>10062</v>
      </c>
      <c r="S107" s="1" t="s">
        <v>6440</v>
      </c>
      <c r="T107" s="1">
        <f t="shared" si="3"/>
        <v>599</v>
      </c>
      <c r="U107" s="1">
        <f t="shared" si="4"/>
        <v>397</v>
      </c>
      <c r="W107" s="1">
        <f>194+203</f>
        <v>397</v>
      </c>
      <c r="AH107" s="1">
        <f t="shared" si="5"/>
        <v>202</v>
      </c>
      <c r="AJ107" s="1">
        <v>202</v>
      </c>
    </row>
    <row r="108" spans="1:37" x14ac:dyDescent="0.2">
      <c r="A108" s="18" t="s">
        <v>10778</v>
      </c>
      <c r="B108" s="18">
        <v>22456796</v>
      </c>
      <c r="C108" s="18" t="s">
        <v>7421</v>
      </c>
      <c r="D108" s="18"/>
      <c r="E108" s="19">
        <v>330</v>
      </c>
      <c r="F108" s="18"/>
      <c r="G108" s="18" t="s">
        <v>61</v>
      </c>
      <c r="H108" s="18" t="s">
        <v>7396</v>
      </c>
      <c r="I108" s="24">
        <v>40996</v>
      </c>
      <c r="J108" s="18" t="s">
        <v>11</v>
      </c>
      <c r="K108" s="18" t="s">
        <v>103</v>
      </c>
      <c r="L108" s="18" t="s">
        <v>10779</v>
      </c>
      <c r="M108" s="18"/>
      <c r="N108" s="18" t="s">
        <v>10</v>
      </c>
      <c r="O108" s="18" t="s">
        <v>10</v>
      </c>
      <c r="P108" s="18" t="s">
        <v>10780</v>
      </c>
      <c r="Q108" s="18" t="s">
        <v>10781</v>
      </c>
      <c r="R108" s="18" t="s">
        <v>10964</v>
      </c>
      <c r="S108" s="1" t="s">
        <v>6242</v>
      </c>
      <c r="T108" s="1">
        <f t="shared" si="3"/>
        <v>18680</v>
      </c>
      <c r="U108" s="1">
        <f t="shared" si="4"/>
        <v>7541</v>
      </c>
      <c r="X108" s="1">
        <f>4470+3071</f>
        <v>7541</v>
      </c>
      <c r="AH108" s="1">
        <f t="shared" si="5"/>
        <v>11139</v>
      </c>
      <c r="AK108" s="1">
        <f>7605+3534</f>
        <v>11139</v>
      </c>
    </row>
    <row r="109" spans="1:37" x14ac:dyDescent="0.2">
      <c r="A109" s="18" t="s">
        <v>9659</v>
      </c>
      <c r="B109" s="18">
        <v>22457343</v>
      </c>
      <c r="C109" s="18" t="s">
        <v>7421</v>
      </c>
      <c r="D109" s="18"/>
      <c r="E109" s="19">
        <v>20</v>
      </c>
      <c r="F109" s="18"/>
      <c r="G109" s="18" t="s">
        <v>9660</v>
      </c>
      <c r="H109" s="18" t="s">
        <v>7402</v>
      </c>
      <c r="I109" s="24">
        <v>40996</v>
      </c>
      <c r="J109" s="18" t="s">
        <v>11</v>
      </c>
      <c r="K109" s="18" t="s">
        <v>9661</v>
      </c>
      <c r="L109" s="18" t="s">
        <v>9662</v>
      </c>
      <c r="M109" s="18"/>
      <c r="N109" s="18" t="s">
        <v>10</v>
      </c>
      <c r="O109" s="18" t="s">
        <v>10</v>
      </c>
      <c r="P109" s="18" t="s">
        <v>9663</v>
      </c>
      <c r="Q109" s="18" t="s">
        <v>9664</v>
      </c>
      <c r="R109" s="18" t="s">
        <v>9665</v>
      </c>
      <c r="S109" s="1" t="s">
        <v>6243</v>
      </c>
      <c r="T109" s="1">
        <f t="shared" si="3"/>
        <v>1208</v>
      </c>
      <c r="U109" s="1">
        <f t="shared" si="4"/>
        <v>431</v>
      </c>
      <c r="V109" s="1">
        <f>197+234</f>
        <v>431</v>
      </c>
      <c r="AH109" s="1">
        <f t="shared" si="5"/>
        <v>777</v>
      </c>
      <c r="AI109" s="1">
        <f>379+398</f>
        <v>777</v>
      </c>
    </row>
    <row r="110" spans="1:37" x14ac:dyDescent="0.2">
      <c r="A110" s="18" t="s">
        <v>8358</v>
      </c>
      <c r="B110" s="18">
        <v>22460556</v>
      </c>
      <c r="C110" s="18" t="s">
        <v>7421</v>
      </c>
      <c r="D110" s="18"/>
      <c r="E110" s="19">
        <v>28</v>
      </c>
      <c r="F110" s="18"/>
      <c r="G110" s="18" t="s">
        <v>8359</v>
      </c>
      <c r="H110" s="18" t="s">
        <v>8360</v>
      </c>
      <c r="I110" s="24">
        <v>40997</v>
      </c>
      <c r="J110" s="18" t="s">
        <v>10</v>
      </c>
      <c r="K110" s="18" t="s">
        <v>529</v>
      </c>
      <c r="L110" s="18" t="s">
        <v>8361</v>
      </c>
      <c r="M110" s="18"/>
      <c r="N110" s="18" t="s">
        <v>10</v>
      </c>
      <c r="O110" s="18" t="s">
        <v>10</v>
      </c>
      <c r="P110" s="18" t="s">
        <v>8362</v>
      </c>
      <c r="Q110" s="18" t="s">
        <v>8363</v>
      </c>
      <c r="R110" s="18" t="s">
        <v>7749</v>
      </c>
      <c r="S110" s="1" t="s">
        <v>6243</v>
      </c>
      <c r="T110" s="1">
        <f t="shared" si="3"/>
        <v>5722</v>
      </c>
      <c r="U110" s="1">
        <f t="shared" si="4"/>
        <v>1215</v>
      </c>
      <c r="V110" s="1">
        <v>1215</v>
      </c>
      <c r="AH110" s="1">
        <f t="shared" si="5"/>
        <v>4507</v>
      </c>
      <c r="AI110" s="1">
        <v>4507</v>
      </c>
    </row>
    <row r="111" spans="1:37" x14ac:dyDescent="0.2">
      <c r="A111" s="18" t="s">
        <v>1338</v>
      </c>
      <c r="B111" s="18">
        <v>22466613</v>
      </c>
      <c r="C111" s="18" t="s">
        <v>7421</v>
      </c>
      <c r="D111" s="18"/>
      <c r="E111" s="19">
        <v>19</v>
      </c>
      <c r="F111" s="18"/>
      <c r="G111" s="18" t="s">
        <v>8587</v>
      </c>
      <c r="H111" s="18" t="s">
        <v>8588</v>
      </c>
      <c r="I111" s="24">
        <v>41000</v>
      </c>
      <c r="J111" s="18" t="s">
        <v>11</v>
      </c>
      <c r="K111" s="18" t="s">
        <v>28</v>
      </c>
      <c r="L111" s="18" t="s">
        <v>8589</v>
      </c>
      <c r="M111" s="18"/>
      <c r="N111" s="18" t="s">
        <v>10</v>
      </c>
      <c r="O111" s="18" t="s">
        <v>10</v>
      </c>
      <c r="P111" s="18" t="s">
        <v>8590</v>
      </c>
      <c r="Q111" s="18" t="s">
        <v>8591</v>
      </c>
      <c r="R111" s="18" t="s">
        <v>8592</v>
      </c>
      <c r="S111" s="1" t="s">
        <v>6243</v>
      </c>
      <c r="T111" s="1">
        <f t="shared" si="3"/>
        <v>6135</v>
      </c>
      <c r="U111" s="1">
        <f t="shared" si="4"/>
        <v>3763</v>
      </c>
      <c r="V111" s="1">
        <v>3763</v>
      </c>
      <c r="AH111" s="1">
        <f t="shared" si="5"/>
        <v>2372</v>
      </c>
      <c r="AI111" s="1">
        <v>2372</v>
      </c>
    </row>
    <row r="112" spans="1:37" x14ac:dyDescent="0.2">
      <c r="A112" s="18" t="s">
        <v>289</v>
      </c>
      <c r="B112" s="18">
        <v>22467206</v>
      </c>
      <c r="C112" s="18" t="s">
        <v>7421</v>
      </c>
      <c r="D112" s="18"/>
      <c r="E112" s="19">
        <v>1429</v>
      </c>
      <c r="F112" s="18">
        <v>1</v>
      </c>
      <c r="G112" s="18" t="s">
        <v>8974</v>
      </c>
      <c r="H112" s="18" t="s">
        <v>8975</v>
      </c>
      <c r="I112" s="24">
        <v>40997</v>
      </c>
      <c r="J112" s="18" t="s">
        <v>10</v>
      </c>
      <c r="K112" s="18" t="s">
        <v>8905</v>
      </c>
      <c r="L112" s="18" t="s">
        <v>8976</v>
      </c>
      <c r="M112" s="18"/>
      <c r="N112" s="18" t="s">
        <v>10</v>
      </c>
      <c r="O112" s="18" t="s">
        <v>10</v>
      </c>
      <c r="P112" s="18" t="s">
        <v>8977</v>
      </c>
      <c r="Q112" s="18" t="s">
        <v>33</v>
      </c>
      <c r="R112" s="18" t="s">
        <v>10942</v>
      </c>
      <c r="S112" s="1" t="s">
        <v>6243</v>
      </c>
      <c r="T112" s="1">
        <f t="shared" si="3"/>
        <v>4</v>
      </c>
      <c r="U112" s="1">
        <f t="shared" si="4"/>
        <v>4</v>
      </c>
      <c r="V112" s="1">
        <v>4</v>
      </c>
    </row>
    <row r="113" spans="1:43" x14ac:dyDescent="0.2">
      <c r="A113" s="18" t="s">
        <v>7670</v>
      </c>
      <c r="B113" s="18">
        <v>22470424</v>
      </c>
      <c r="C113" s="18" t="s">
        <v>7421</v>
      </c>
      <c r="D113" s="18"/>
      <c r="E113" s="19">
        <v>87</v>
      </c>
      <c r="F113" s="18"/>
      <c r="G113" s="18" t="s">
        <v>193</v>
      </c>
      <c r="H113" s="18" t="s">
        <v>7142</v>
      </c>
      <c r="I113" s="24">
        <v>40996</v>
      </c>
      <c r="J113" s="18" t="s">
        <v>11</v>
      </c>
      <c r="K113" s="18" t="s">
        <v>181</v>
      </c>
      <c r="L113" s="18" t="s">
        <v>7671</v>
      </c>
      <c r="M113" s="18"/>
      <c r="N113" s="18" t="s">
        <v>10</v>
      </c>
      <c r="O113" s="18" t="s">
        <v>10</v>
      </c>
      <c r="P113" s="18" t="s">
        <v>7672</v>
      </c>
      <c r="Q113" s="18" t="s">
        <v>7673</v>
      </c>
      <c r="R113" s="18" t="s">
        <v>7674</v>
      </c>
      <c r="S113" s="1" t="s">
        <v>6243</v>
      </c>
      <c r="T113" s="1">
        <f t="shared" si="3"/>
        <v>8040</v>
      </c>
      <c r="U113" s="1">
        <f t="shared" si="4"/>
        <v>6896</v>
      </c>
      <c r="V113" s="1">
        <f>639+6257</f>
        <v>6896</v>
      </c>
      <c r="AH113" s="1">
        <f>SUM(AI113:AT113)</f>
        <v>1144</v>
      </c>
      <c r="AI113" s="1">
        <f>183+961</f>
        <v>1144</v>
      </c>
    </row>
    <row r="114" spans="1:43" x14ac:dyDescent="0.2">
      <c r="A114" s="18" t="s">
        <v>9025</v>
      </c>
      <c r="B114" s="18">
        <v>22472174</v>
      </c>
      <c r="C114" s="18" t="s">
        <v>7421</v>
      </c>
      <c r="D114" s="18"/>
      <c r="E114" s="19">
        <v>42</v>
      </c>
      <c r="F114" s="18"/>
      <c r="G114" s="18" t="s">
        <v>9026</v>
      </c>
      <c r="H114" s="18" t="s">
        <v>436</v>
      </c>
      <c r="I114" s="24">
        <v>41002</v>
      </c>
      <c r="J114" s="18" t="s">
        <v>11</v>
      </c>
      <c r="K114" s="18" t="s">
        <v>2053</v>
      </c>
      <c r="L114" s="18" t="s">
        <v>9027</v>
      </c>
      <c r="M114" s="18"/>
      <c r="N114" s="18" t="s">
        <v>10</v>
      </c>
      <c r="O114" s="18" t="s">
        <v>10</v>
      </c>
      <c r="P114" s="18" t="s">
        <v>9028</v>
      </c>
      <c r="Q114" s="18" t="s">
        <v>9029</v>
      </c>
      <c r="R114" s="18" t="s">
        <v>9030</v>
      </c>
      <c r="S114" s="1" t="s">
        <v>6243</v>
      </c>
      <c r="T114" s="1">
        <f t="shared" si="3"/>
        <v>749</v>
      </c>
      <c r="U114" s="1">
        <f t="shared" si="4"/>
        <v>315</v>
      </c>
      <c r="V114" s="1">
        <v>315</v>
      </c>
      <c r="AH114" s="1">
        <f>SUM(AI114:AT114)</f>
        <v>434</v>
      </c>
      <c r="AI114" s="1">
        <v>434</v>
      </c>
    </row>
    <row r="115" spans="1:43" x14ac:dyDescent="0.2">
      <c r="A115" s="18" t="s">
        <v>9523</v>
      </c>
      <c r="B115" s="18">
        <v>22472876</v>
      </c>
      <c r="C115" s="18" t="s">
        <v>7421</v>
      </c>
      <c r="D115" s="18"/>
      <c r="E115" s="19">
        <v>2388</v>
      </c>
      <c r="F115" s="18"/>
      <c r="G115" s="18" t="s">
        <v>634</v>
      </c>
      <c r="H115" s="18" t="s">
        <v>635</v>
      </c>
      <c r="I115" s="24">
        <v>41002</v>
      </c>
      <c r="J115" s="18" t="s">
        <v>11</v>
      </c>
      <c r="K115" s="18" t="s">
        <v>71</v>
      </c>
      <c r="L115" s="18" t="s">
        <v>9524</v>
      </c>
      <c r="M115" s="18"/>
      <c r="N115" s="18" t="s">
        <v>10</v>
      </c>
      <c r="O115" s="18" t="s">
        <v>10</v>
      </c>
      <c r="P115" s="18" t="s">
        <v>9525</v>
      </c>
      <c r="Q115" s="18" t="s">
        <v>9526</v>
      </c>
      <c r="R115" s="18" t="s">
        <v>9527</v>
      </c>
      <c r="S115" s="1" t="s">
        <v>6243</v>
      </c>
      <c r="T115" s="1">
        <f t="shared" si="3"/>
        <v>76237</v>
      </c>
      <c r="U115" s="1">
        <f t="shared" si="4"/>
        <v>18759</v>
      </c>
      <c r="V115" s="1">
        <f>9240+9519</f>
        <v>18759</v>
      </c>
      <c r="AH115" s="1">
        <f>SUM(AI115:AT115)</f>
        <v>57478</v>
      </c>
      <c r="AI115" s="1">
        <f>6783+50695</f>
        <v>57478</v>
      </c>
    </row>
    <row r="116" spans="1:43" x14ac:dyDescent="0.2">
      <c r="A116" s="18" t="s">
        <v>2040</v>
      </c>
      <c r="B116" s="18">
        <v>22477055</v>
      </c>
      <c r="C116" s="18" t="s">
        <v>7421</v>
      </c>
      <c r="D116" s="18"/>
      <c r="E116" s="19">
        <v>5</v>
      </c>
      <c r="F116" s="18"/>
      <c r="G116" s="18" t="s">
        <v>8750</v>
      </c>
      <c r="H116" s="18" t="s">
        <v>152</v>
      </c>
      <c r="I116" s="24">
        <v>41002</v>
      </c>
      <c r="J116" s="18" t="s">
        <v>10</v>
      </c>
      <c r="K116" s="18" t="s">
        <v>8751</v>
      </c>
      <c r="L116" s="18" t="s">
        <v>8752</v>
      </c>
      <c r="M116" s="18"/>
      <c r="N116" s="18" t="s">
        <v>10</v>
      </c>
      <c r="O116" s="18" t="s">
        <v>10</v>
      </c>
      <c r="P116" s="18" t="s">
        <v>8753</v>
      </c>
      <c r="Q116" s="18" t="s">
        <v>33</v>
      </c>
      <c r="R116" s="18" t="s">
        <v>8754</v>
      </c>
      <c r="S116" s="1" t="s">
        <v>6242</v>
      </c>
      <c r="T116" s="1">
        <f t="shared" si="3"/>
        <v>1391</v>
      </c>
      <c r="U116" s="1">
        <f t="shared" si="4"/>
        <v>1391</v>
      </c>
      <c r="X116" s="1">
        <v>1391</v>
      </c>
    </row>
    <row r="117" spans="1:43" x14ac:dyDescent="0.2">
      <c r="A117" s="18" t="s">
        <v>1366</v>
      </c>
      <c r="B117" s="18">
        <v>22479191</v>
      </c>
      <c r="C117" s="18" t="s">
        <v>7421</v>
      </c>
      <c r="D117" s="18"/>
      <c r="E117" s="19">
        <v>306</v>
      </c>
      <c r="F117" s="18"/>
      <c r="G117" s="18" t="s">
        <v>869</v>
      </c>
      <c r="H117" s="18" t="s">
        <v>7401</v>
      </c>
      <c r="I117" s="24">
        <v>40997</v>
      </c>
      <c r="J117" s="18" t="s">
        <v>11</v>
      </c>
      <c r="K117" s="18" t="s">
        <v>65</v>
      </c>
      <c r="L117" s="18" t="s">
        <v>8318</v>
      </c>
      <c r="M117" s="18"/>
      <c r="N117" s="18" t="s">
        <v>10</v>
      </c>
      <c r="O117" s="18" t="s">
        <v>10</v>
      </c>
      <c r="P117" s="18" t="s">
        <v>8319</v>
      </c>
      <c r="Q117" s="18" t="s">
        <v>8320</v>
      </c>
      <c r="R117" s="18" t="s">
        <v>868</v>
      </c>
      <c r="S117" s="1" t="s">
        <v>6243</v>
      </c>
      <c r="T117" s="1">
        <f t="shared" si="3"/>
        <v>130600</v>
      </c>
      <c r="U117" s="1">
        <f t="shared" si="4"/>
        <v>74354</v>
      </c>
      <c r="V117" s="1">
        <v>74354</v>
      </c>
      <c r="AH117" s="1">
        <f>SUM(AI117:AT117)</f>
        <v>56246</v>
      </c>
      <c r="AI117" s="1">
        <v>56246</v>
      </c>
    </row>
    <row r="118" spans="1:43" x14ac:dyDescent="0.2">
      <c r="A118" s="18" t="s">
        <v>7464</v>
      </c>
      <c r="B118" s="18">
        <v>22479202</v>
      </c>
      <c r="C118" s="18" t="s">
        <v>7421</v>
      </c>
      <c r="D118" s="18"/>
      <c r="E118" s="19">
        <v>136263</v>
      </c>
      <c r="F118" s="18"/>
      <c r="G118" s="18" t="s">
        <v>6766</v>
      </c>
      <c r="H118" s="18" t="s">
        <v>7203</v>
      </c>
      <c r="I118" s="24">
        <v>40997</v>
      </c>
      <c r="J118" s="18" t="s">
        <v>11</v>
      </c>
      <c r="K118" s="18" t="s">
        <v>65</v>
      </c>
      <c r="L118" s="18" t="s">
        <v>7465</v>
      </c>
      <c r="M118" s="18"/>
      <c r="N118" s="18" t="s">
        <v>10</v>
      </c>
      <c r="O118" s="18" t="s">
        <v>10</v>
      </c>
      <c r="P118" s="18" t="s">
        <v>7466</v>
      </c>
      <c r="Q118" s="18" t="s">
        <v>7467</v>
      </c>
      <c r="R118" s="18" t="s">
        <v>868</v>
      </c>
      <c r="S118" s="1" t="s">
        <v>6243</v>
      </c>
      <c r="T118" s="1">
        <f t="shared" si="3"/>
        <v>39910</v>
      </c>
      <c r="U118" s="1">
        <f t="shared" si="4"/>
        <v>29374</v>
      </c>
      <c r="V118" s="1">
        <v>29374</v>
      </c>
      <c r="AH118" s="1">
        <f>SUM(AI118:AT118)</f>
        <v>10536</v>
      </c>
      <c r="AI118" s="1">
        <v>10536</v>
      </c>
    </row>
    <row r="119" spans="1:43" x14ac:dyDescent="0.2">
      <c r="A119" s="18" t="s">
        <v>8105</v>
      </c>
      <c r="B119" s="18">
        <v>22479309</v>
      </c>
      <c r="C119" s="18" t="s">
        <v>7421</v>
      </c>
      <c r="D119" s="18"/>
      <c r="E119" s="19">
        <v>144</v>
      </c>
      <c r="F119" s="18"/>
      <c r="G119" s="18" t="s">
        <v>8106</v>
      </c>
      <c r="H119" s="18" t="s">
        <v>8107</v>
      </c>
      <c r="I119" s="24">
        <v>40997</v>
      </c>
      <c r="J119" s="18" t="s">
        <v>11</v>
      </c>
      <c r="K119" s="18" t="s">
        <v>181</v>
      </c>
      <c r="L119" s="18" t="s">
        <v>8108</v>
      </c>
      <c r="M119" s="18"/>
      <c r="N119" s="18" t="s">
        <v>10</v>
      </c>
      <c r="O119" s="18" t="s">
        <v>10</v>
      </c>
      <c r="P119" s="18" t="s">
        <v>8109</v>
      </c>
      <c r="Q119" s="18" t="s">
        <v>8110</v>
      </c>
      <c r="R119" s="18" t="s">
        <v>8111</v>
      </c>
      <c r="S119" s="1" t="s">
        <v>6243</v>
      </c>
      <c r="T119" s="1">
        <f t="shared" si="3"/>
        <v>22376</v>
      </c>
      <c r="U119" s="1">
        <f t="shared" si="4"/>
        <v>18753</v>
      </c>
      <c r="V119" s="1">
        <v>18753</v>
      </c>
      <c r="AH119" s="1">
        <f>SUM(AI119:AT119)</f>
        <v>3623</v>
      </c>
      <c r="AI119" s="1">
        <v>3623</v>
      </c>
    </row>
    <row r="120" spans="1:43" x14ac:dyDescent="0.2">
      <c r="A120" s="18" t="s">
        <v>227</v>
      </c>
      <c r="B120" s="18">
        <v>22479346</v>
      </c>
      <c r="C120" s="18" t="s">
        <v>7421</v>
      </c>
      <c r="D120" s="18"/>
      <c r="E120" s="19">
        <v>46829</v>
      </c>
      <c r="F120" s="18"/>
      <c r="G120" s="18" t="s">
        <v>293</v>
      </c>
      <c r="H120" s="18" t="s">
        <v>7222</v>
      </c>
      <c r="I120" s="24">
        <v>40997</v>
      </c>
      <c r="J120" s="18" t="s">
        <v>11</v>
      </c>
      <c r="K120" s="18" t="s">
        <v>181</v>
      </c>
      <c r="L120" s="18" t="s">
        <v>9192</v>
      </c>
      <c r="M120" s="18"/>
      <c r="N120" s="18" t="s">
        <v>10</v>
      </c>
      <c r="O120" s="18" t="s">
        <v>10</v>
      </c>
      <c r="P120" s="18" t="s">
        <v>9193</v>
      </c>
      <c r="Q120" s="18" t="s">
        <v>9194</v>
      </c>
      <c r="R120" s="18" t="s">
        <v>9195</v>
      </c>
      <c r="S120" s="1" t="s">
        <v>6244</v>
      </c>
      <c r="T120" s="1">
        <f t="shared" si="3"/>
        <v>6118</v>
      </c>
      <c r="U120" s="1">
        <f t="shared" si="4"/>
        <v>800</v>
      </c>
      <c r="X120" s="1">
        <v>800</v>
      </c>
      <c r="AH120" s="1">
        <f>SUM(AI120:AT120)</f>
        <v>5318</v>
      </c>
      <c r="AI120" s="1">
        <f>3004+1999</f>
        <v>5003</v>
      </c>
      <c r="AK120" s="1">
        <v>315</v>
      </c>
    </row>
    <row r="121" spans="1:43" x14ac:dyDescent="0.2">
      <c r="A121" s="18" t="s">
        <v>10269</v>
      </c>
      <c r="B121" s="18">
        <v>22479419</v>
      </c>
      <c r="C121" s="18" t="s">
        <v>7421</v>
      </c>
      <c r="D121" s="18"/>
      <c r="E121" s="19">
        <v>36</v>
      </c>
      <c r="F121" s="18"/>
      <c r="G121" s="18" t="s">
        <v>10270</v>
      </c>
      <c r="H121" s="18" t="s">
        <v>446</v>
      </c>
      <c r="I121" s="24">
        <v>40995</v>
      </c>
      <c r="J121" s="18" t="s">
        <v>11</v>
      </c>
      <c r="K121" s="18" t="s">
        <v>181</v>
      </c>
      <c r="L121" s="18" t="s">
        <v>10271</v>
      </c>
      <c r="M121" s="18"/>
      <c r="N121" s="18" t="s">
        <v>10</v>
      </c>
      <c r="O121" s="18" t="s">
        <v>10</v>
      </c>
      <c r="P121" s="18" t="s">
        <v>10272</v>
      </c>
      <c r="Q121" s="18" t="s">
        <v>10273</v>
      </c>
      <c r="R121" s="18" t="s">
        <v>10274</v>
      </c>
      <c r="S121" s="1" t="s">
        <v>6242</v>
      </c>
      <c r="T121" s="1">
        <f t="shared" si="3"/>
        <v>1601</v>
      </c>
      <c r="U121" s="1">
        <f t="shared" si="4"/>
        <v>1328</v>
      </c>
      <c r="X121" s="1">
        <f>522+806</f>
        <v>1328</v>
      </c>
      <c r="AH121" s="1">
        <f>SUM(AI121:AT121)</f>
        <v>273</v>
      </c>
      <c r="AK121" s="1">
        <v>273</v>
      </c>
    </row>
    <row r="122" spans="1:43" x14ac:dyDescent="0.2">
      <c r="A122" s="18" t="s">
        <v>2463</v>
      </c>
      <c r="B122" s="18">
        <v>22481050</v>
      </c>
      <c r="C122" s="18" t="s">
        <v>7421</v>
      </c>
      <c r="D122" s="18"/>
      <c r="E122" s="19">
        <v>78</v>
      </c>
      <c r="F122" s="18"/>
      <c r="G122" s="18" t="s">
        <v>7576</v>
      </c>
      <c r="H122" s="18" t="s">
        <v>7207</v>
      </c>
      <c r="I122" s="24">
        <v>40987</v>
      </c>
      <c r="J122" s="18" t="s">
        <v>10</v>
      </c>
      <c r="K122" s="18" t="s">
        <v>7577</v>
      </c>
      <c r="L122" s="18" t="s">
        <v>7578</v>
      </c>
      <c r="M122" s="18"/>
      <c r="N122" s="18" t="s">
        <v>10</v>
      </c>
      <c r="O122" s="18" t="s">
        <v>10</v>
      </c>
      <c r="P122" s="18" t="s">
        <v>7579</v>
      </c>
      <c r="Q122" s="18" t="s">
        <v>33</v>
      </c>
      <c r="R122" s="18" t="s">
        <v>7580</v>
      </c>
      <c r="S122" s="1" t="s">
        <v>6244</v>
      </c>
      <c r="T122" s="1">
        <f t="shared" si="3"/>
        <v>3976</v>
      </c>
      <c r="U122" s="1">
        <f t="shared" si="4"/>
        <v>3976</v>
      </c>
      <c r="AD122" s="1">
        <f>841+3135</f>
        <v>3976</v>
      </c>
    </row>
    <row r="123" spans="1:43" x14ac:dyDescent="0.2">
      <c r="A123" s="18" t="s">
        <v>1837</v>
      </c>
      <c r="B123" s="18">
        <v>22482804</v>
      </c>
      <c r="C123" s="18" t="s">
        <v>7421</v>
      </c>
      <c r="D123" s="18"/>
      <c r="E123" s="19">
        <v>85</v>
      </c>
      <c r="F123" s="18"/>
      <c r="G123" s="18" t="s">
        <v>8575</v>
      </c>
      <c r="H123" s="18" t="s">
        <v>8576</v>
      </c>
      <c r="I123" s="24">
        <v>41005</v>
      </c>
      <c r="J123" s="18" t="s">
        <v>11</v>
      </c>
      <c r="K123" s="18" t="s">
        <v>16</v>
      </c>
      <c r="L123" s="18" t="s">
        <v>8577</v>
      </c>
      <c r="M123" s="18"/>
      <c r="N123" s="18" t="s">
        <v>10</v>
      </c>
      <c r="O123" s="18" t="s">
        <v>10</v>
      </c>
      <c r="P123" s="18" t="s">
        <v>8578</v>
      </c>
      <c r="Q123" s="18" t="s">
        <v>8579</v>
      </c>
      <c r="R123" s="18" t="s">
        <v>8580</v>
      </c>
      <c r="S123" s="1" t="s">
        <v>6243</v>
      </c>
      <c r="T123" s="1">
        <f t="shared" si="3"/>
        <v>32491</v>
      </c>
      <c r="U123" s="1">
        <f t="shared" si="4"/>
        <v>15131</v>
      </c>
      <c r="V123" s="1">
        <f>2529+2142+10460</f>
        <v>15131</v>
      </c>
      <c r="AH123" s="1">
        <f>SUM(AI123:AT123)</f>
        <v>17360</v>
      </c>
      <c r="AI123" s="1">
        <f>10100+4073+3187</f>
        <v>17360</v>
      </c>
    </row>
    <row r="124" spans="1:43" x14ac:dyDescent="0.2">
      <c r="A124" s="18" t="s">
        <v>3084</v>
      </c>
      <c r="B124" s="18">
        <v>22484627</v>
      </c>
      <c r="C124" s="18" t="s">
        <v>7421</v>
      </c>
      <c r="D124" s="18"/>
      <c r="E124" s="19">
        <v>130657</v>
      </c>
      <c r="F124" s="18"/>
      <c r="G124" s="18" t="s">
        <v>9828</v>
      </c>
      <c r="H124" s="18" t="s">
        <v>7302</v>
      </c>
      <c r="I124" s="24">
        <v>41007</v>
      </c>
      <c r="J124" s="18" t="s">
        <v>11</v>
      </c>
      <c r="K124" s="18" t="s">
        <v>28</v>
      </c>
      <c r="L124" s="18" t="s">
        <v>9832</v>
      </c>
      <c r="M124" s="18"/>
      <c r="N124" s="18" t="s">
        <v>10</v>
      </c>
      <c r="O124" s="18" t="s">
        <v>10</v>
      </c>
      <c r="P124" s="18" t="s">
        <v>9833</v>
      </c>
      <c r="Q124" s="18" t="s">
        <v>9834</v>
      </c>
      <c r="R124" s="18" t="s">
        <v>9835</v>
      </c>
      <c r="S124" s="1" t="s">
        <v>6243</v>
      </c>
      <c r="T124" s="1">
        <f t="shared" si="3"/>
        <v>18736</v>
      </c>
      <c r="U124" s="1">
        <f t="shared" si="4"/>
        <v>13848</v>
      </c>
      <c r="V124" s="1">
        <f>5530+8318</f>
        <v>13848</v>
      </c>
      <c r="AH124" s="1">
        <f>SUM(AI124:AT124)</f>
        <v>4888</v>
      </c>
      <c r="AI124" s="1">
        <f>2214+2674</f>
        <v>4888</v>
      </c>
    </row>
    <row r="125" spans="1:43" x14ac:dyDescent="0.2">
      <c r="A125" s="18" t="s">
        <v>3076</v>
      </c>
      <c r="B125" s="18">
        <v>22488850</v>
      </c>
      <c r="C125" s="18" t="s">
        <v>7421</v>
      </c>
      <c r="D125" s="18"/>
      <c r="E125" s="19">
        <v>59</v>
      </c>
      <c r="F125" s="18"/>
      <c r="G125" s="18" t="s">
        <v>7554</v>
      </c>
      <c r="H125" s="18" t="s">
        <v>7555</v>
      </c>
      <c r="I125" s="24">
        <v>41003</v>
      </c>
      <c r="J125" s="18" t="s">
        <v>11</v>
      </c>
      <c r="K125" s="18" t="s">
        <v>43</v>
      </c>
      <c r="L125" s="18" t="s">
        <v>7556</v>
      </c>
      <c r="M125" s="18"/>
      <c r="N125" s="18" t="s">
        <v>10</v>
      </c>
      <c r="O125" s="18" t="s">
        <v>10</v>
      </c>
      <c r="P125" s="18" t="s">
        <v>7557</v>
      </c>
      <c r="Q125" s="18" t="s">
        <v>33</v>
      </c>
      <c r="R125" s="18" t="s">
        <v>7558</v>
      </c>
      <c r="S125" s="1" t="s">
        <v>6244</v>
      </c>
      <c r="T125" s="1">
        <f t="shared" si="3"/>
        <v>3143</v>
      </c>
      <c r="U125" s="1">
        <f t="shared" si="4"/>
        <v>3143</v>
      </c>
      <c r="V125" s="1">
        <f>818+1396</f>
        <v>2214</v>
      </c>
      <c r="W125" s="1">
        <f>480+449</f>
        <v>929</v>
      </c>
    </row>
    <row r="126" spans="1:43" x14ac:dyDescent="0.2">
      <c r="A126" s="18" t="s">
        <v>10310</v>
      </c>
      <c r="B126" s="18">
        <v>22490782</v>
      </c>
      <c r="C126" s="18" t="s">
        <v>7421</v>
      </c>
      <c r="D126" s="18"/>
      <c r="E126" s="19">
        <v>5</v>
      </c>
      <c r="F126" s="18"/>
      <c r="G126" s="18" t="s">
        <v>10311</v>
      </c>
      <c r="H126" s="18" t="s">
        <v>10312</v>
      </c>
      <c r="I126" s="24">
        <v>41005</v>
      </c>
      <c r="J126" s="18" t="s">
        <v>10</v>
      </c>
      <c r="K126" s="18" t="s">
        <v>2758</v>
      </c>
      <c r="L126" s="18" t="s">
        <v>10313</v>
      </c>
      <c r="M126" s="18"/>
      <c r="N126" s="18" t="s">
        <v>10</v>
      </c>
      <c r="O126" s="18" t="s">
        <v>10</v>
      </c>
      <c r="P126" s="18" t="s">
        <v>10314</v>
      </c>
      <c r="Q126" s="18" t="s">
        <v>33</v>
      </c>
      <c r="R126" s="18" t="s">
        <v>10315</v>
      </c>
      <c r="S126" s="1" t="s">
        <v>6248</v>
      </c>
      <c r="T126" s="1">
        <f t="shared" si="3"/>
        <v>147</v>
      </c>
      <c r="U126" s="1">
        <f t="shared" si="4"/>
        <v>147</v>
      </c>
      <c r="AE126" s="1">
        <v>147</v>
      </c>
    </row>
    <row r="127" spans="1:43" x14ac:dyDescent="0.2">
      <c r="A127" s="18" t="s">
        <v>1543</v>
      </c>
      <c r="B127" s="18">
        <v>22491018</v>
      </c>
      <c r="C127" s="18" t="s">
        <v>7421</v>
      </c>
      <c r="D127" s="18"/>
      <c r="E127" s="19">
        <v>206</v>
      </c>
      <c r="F127" s="18"/>
      <c r="G127" s="18" t="s">
        <v>10338</v>
      </c>
      <c r="H127" s="18" t="s">
        <v>10329</v>
      </c>
      <c r="I127" s="24">
        <v>41009</v>
      </c>
      <c r="J127" s="18" t="s">
        <v>11</v>
      </c>
      <c r="K127" s="18" t="s">
        <v>113</v>
      </c>
      <c r="L127" s="18" t="s">
        <v>10339</v>
      </c>
      <c r="M127" s="18"/>
      <c r="N127" s="18" t="s">
        <v>10</v>
      </c>
      <c r="O127" s="18" t="s">
        <v>10</v>
      </c>
      <c r="P127" s="18" t="s">
        <v>10340</v>
      </c>
      <c r="Q127" s="18" t="s">
        <v>10341</v>
      </c>
      <c r="R127" s="18" t="s">
        <v>10342</v>
      </c>
      <c r="S127" s="1" t="s">
        <v>6244</v>
      </c>
      <c r="T127" s="1">
        <f t="shared" si="3"/>
        <v>1683</v>
      </c>
      <c r="U127" s="1">
        <f t="shared" si="4"/>
        <v>1157</v>
      </c>
      <c r="AD127" s="1">
        <v>1157</v>
      </c>
      <c r="AH127" s="1">
        <f>SUM(AI127:AT127)</f>
        <v>526</v>
      </c>
      <c r="AQ127" s="1">
        <v>526</v>
      </c>
    </row>
    <row r="128" spans="1:43" x14ac:dyDescent="0.2">
      <c r="A128" s="18" t="s">
        <v>8544</v>
      </c>
      <c r="B128" s="18">
        <v>22492993</v>
      </c>
      <c r="C128" s="18" t="s">
        <v>7421</v>
      </c>
      <c r="D128" s="18"/>
      <c r="E128" s="19">
        <v>76</v>
      </c>
      <c r="F128" s="18"/>
      <c r="G128" s="18" t="s">
        <v>8538</v>
      </c>
      <c r="H128" s="18" t="s">
        <v>8539</v>
      </c>
      <c r="I128" s="24">
        <v>41004</v>
      </c>
      <c r="J128" s="18" t="s">
        <v>11</v>
      </c>
      <c r="K128" s="18" t="s">
        <v>103</v>
      </c>
      <c r="L128" s="18" t="s">
        <v>8545</v>
      </c>
      <c r="M128" s="18"/>
      <c r="N128" s="18" t="s">
        <v>10</v>
      </c>
      <c r="O128" s="18" t="s">
        <v>10</v>
      </c>
      <c r="P128" s="18" t="s">
        <v>8546</v>
      </c>
      <c r="Q128" s="18" t="s">
        <v>8547</v>
      </c>
      <c r="R128" s="18" t="s">
        <v>8548</v>
      </c>
      <c r="S128" s="1" t="s">
        <v>6440</v>
      </c>
      <c r="T128" s="1">
        <f t="shared" si="3"/>
        <v>1323</v>
      </c>
      <c r="U128" s="1">
        <f t="shared" si="4"/>
        <v>837</v>
      </c>
      <c r="W128" s="1">
        <v>837</v>
      </c>
      <c r="AH128" s="1">
        <f>SUM(AI128:AT128)</f>
        <v>486</v>
      </c>
      <c r="AJ128" s="1">
        <v>486</v>
      </c>
    </row>
    <row r="129" spans="1:43" x14ac:dyDescent="0.2">
      <c r="A129" s="18" t="s">
        <v>1586</v>
      </c>
      <c r="B129" s="18">
        <v>22493691</v>
      </c>
      <c r="C129" s="18" t="s">
        <v>7421</v>
      </c>
      <c r="D129" s="18"/>
      <c r="E129" s="19">
        <v>296</v>
      </c>
      <c r="F129" s="18"/>
      <c r="G129" s="18" t="s">
        <v>9210</v>
      </c>
      <c r="H129" s="18" t="s">
        <v>2563</v>
      </c>
      <c r="I129" s="24">
        <v>41005</v>
      </c>
      <c r="J129" s="18" t="s">
        <v>11</v>
      </c>
      <c r="K129" s="18" t="s">
        <v>181</v>
      </c>
      <c r="L129" s="18" t="s">
        <v>9211</v>
      </c>
      <c r="M129" s="18"/>
      <c r="N129" s="18" t="s">
        <v>10</v>
      </c>
      <c r="O129" s="18" t="s">
        <v>10</v>
      </c>
      <c r="P129" s="18" t="s">
        <v>9212</v>
      </c>
      <c r="Q129" s="18" t="s">
        <v>33</v>
      </c>
      <c r="R129" s="18" t="s">
        <v>9213</v>
      </c>
      <c r="S129" s="1" t="s">
        <v>6243</v>
      </c>
      <c r="T129" s="1">
        <f t="shared" si="3"/>
        <v>39282</v>
      </c>
      <c r="U129" s="1">
        <f t="shared" si="4"/>
        <v>39282</v>
      </c>
      <c r="V129" s="1">
        <f>3736+35546</f>
        <v>39282</v>
      </c>
    </row>
    <row r="130" spans="1:43" x14ac:dyDescent="0.2">
      <c r="A130" s="18" t="s">
        <v>10662</v>
      </c>
      <c r="B130" s="18">
        <v>22494929</v>
      </c>
      <c r="C130" s="18" t="s">
        <v>7421</v>
      </c>
      <c r="D130" s="18"/>
      <c r="E130" s="19">
        <v>44</v>
      </c>
      <c r="F130" s="18"/>
      <c r="G130" s="18" t="s">
        <v>10663</v>
      </c>
      <c r="H130" s="18" t="s">
        <v>2563</v>
      </c>
      <c r="I130" s="24">
        <v>41009</v>
      </c>
      <c r="J130" s="18" t="s">
        <v>11</v>
      </c>
      <c r="K130" s="18" t="s">
        <v>103</v>
      </c>
      <c r="L130" s="18" t="s">
        <v>10664</v>
      </c>
      <c r="M130" s="18"/>
      <c r="N130" s="18" t="s">
        <v>10</v>
      </c>
      <c r="O130" s="18" t="s">
        <v>10</v>
      </c>
      <c r="P130" s="18" t="s">
        <v>10665</v>
      </c>
      <c r="Q130" s="18" t="s">
        <v>10666</v>
      </c>
      <c r="R130" s="18" t="s">
        <v>10667</v>
      </c>
      <c r="S130" s="1" t="s">
        <v>6243</v>
      </c>
      <c r="T130" s="1">
        <f t="shared" ref="T130:T193" si="6">SUM(U130,AH130)</f>
        <v>7463</v>
      </c>
      <c r="U130" s="1">
        <f t="shared" ref="U130:U193" si="7">SUM(V130:AG130)</f>
        <v>3736</v>
      </c>
      <c r="V130" s="1">
        <v>3736</v>
      </c>
      <c r="AH130" s="1">
        <f>SUM(AI130:AT130)</f>
        <v>3727</v>
      </c>
      <c r="AI130" s="1">
        <v>3727</v>
      </c>
    </row>
    <row r="131" spans="1:43" x14ac:dyDescent="0.2">
      <c r="A131" s="18" t="s">
        <v>3153</v>
      </c>
      <c r="B131" s="18">
        <v>22497812</v>
      </c>
      <c r="C131" s="18" t="s">
        <v>7421</v>
      </c>
      <c r="D131" s="18"/>
      <c r="E131" s="19">
        <v>34</v>
      </c>
      <c r="F131" s="18"/>
      <c r="G131" s="18" t="s">
        <v>9343</v>
      </c>
      <c r="H131" s="18" t="s">
        <v>9344</v>
      </c>
      <c r="I131" s="24">
        <v>40961</v>
      </c>
      <c r="J131" s="18" t="s">
        <v>11</v>
      </c>
      <c r="K131" s="18" t="s">
        <v>9345</v>
      </c>
      <c r="L131" s="18" t="s">
        <v>9346</v>
      </c>
      <c r="M131" s="18"/>
      <c r="N131" s="18" t="s">
        <v>10</v>
      </c>
      <c r="O131" s="18" t="s">
        <v>10</v>
      </c>
      <c r="P131" s="18" t="s">
        <v>9347</v>
      </c>
      <c r="Q131" s="18" t="s">
        <v>33</v>
      </c>
      <c r="R131" s="18" t="s">
        <v>9348</v>
      </c>
      <c r="S131" s="1" t="s">
        <v>6244</v>
      </c>
      <c r="T131" s="1">
        <f t="shared" si="6"/>
        <v>1319</v>
      </c>
      <c r="U131" s="1">
        <f t="shared" si="7"/>
        <v>1319</v>
      </c>
      <c r="V131" s="1">
        <v>1017</v>
      </c>
      <c r="W131" s="1">
        <v>207</v>
      </c>
      <c r="Z131" s="1">
        <v>95</v>
      </c>
    </row>
    <row r="132" spans="1:43" x14ac:dyDescent="0.2">
      <c r="A132" s="18" t="s">
        <v>2584</v>
      </c>
      <c r="B132" s="18">
        <v>22502797</v>
      </c>
      <c r="C132" s="18" t="s">
        <v>7421</v>
      </c>
      <c r="D132" s="18"/>
      <c r="E132" s="19">
        <v>25</v>
      </c>
      <c r="F132" s="18"/>
      <c r="G132" s="18" t="s">
        <v>799</v>
      </c>
      <c r="H132" s="18" t="s">
        <v>7052</v>
      </c>
      <c r="I132" s="24">
        <v>41011</v>
      </c>
      <c r="J132" s="18" t="s">
        <v>10</v>
      </c>
      <c r="K132" s="18" t="s">
        <v>1169</v>
      </c>
      <c r="L132" s="18" t="s">
        <v>7796</v>
      </c>
      <c r="M132" s="18"/>
      <c r="N132" s="18" t="s">
        <v>10</v>
      </c>
      <c r="O132" s="18" t="s">
        <v>10</v>
      </c>
      <c r="P132" s="18" t="s">
        <v>7797</v>
      </c>
      <c r="Q132" s="18" t="s">
        <v>33</v>
      </c>
      <c r="R132" s="18" t="s">
        <v>7798</v>
      </c>
      <c r="S132" s="1" t="s">
        <v>6270</v>
      </c>
      <c r="T132" s="1">
        <f t="shared" si="6"/>
        <v>876</v>
      </c>
      <c r="U132" s="1">
        <f t="shared" si="7"/>
        <v>876</v>
      </c>
      <c r="Z132" s="1">
        <f>529+347</f>
        <v>876</v>
      </c>
    </row>
    <row r="133" spans="1:43" x14ac:dyDescent="0.2">
      <c r="A133" s="18" t="s">
        <v>2131</v>
      </c>
      <c r="B133" s="18">
        <v>22503698</v>
      </c>
      <c r="C133" s="18" t="s">
        <v>7421</v>
      </c>
      <c r="D133" s="18"/>
      <c r="E133" s="19">
        <v>93</v>
      </c>
      <c r="F133" s="18"/>
      <c r="G133" s="18" t="s">
        <v>8302</v>
      </c>
      <c r="H133" s="18" t="s">
        <v>8303</v>
      </c>
      <c r="I133" s="24">
        <v>41011</v>
      </c>
      <c r="J133" s="18" t="s">
        <v>11</v>
      </c>
      <c r="K133" s="18" t="s">
        <v>8304</v>
      </c>
      <c r="L133" s="18" t="s">
        <v>8305</v>
      </c>
      <c r="M133" s="18"/>
      <c r="N133" s="18" t="s">
        <v>10</v>
      </c>
      <c r="O133" s="18" t="s">
        <v>10</v>
      </c>
      <c r="P133" s="18" t="s">
        <v>8306</v>
      </c>
      <c r="Q133" s="18" t="s">
        <v>33</v>
      </c>
      <c r="R133" s="18" t="s">
        <v>8307</v>
      </c>
      <c r="S133" s="1" t="s">
        <v>6242</v>
      </c>
      <c r="T133" s="1">
        <f t="shared" si="6"/>
        <v>147</v>
      </c>
      <c r="U133" s="1">
        <f t="shared" si="7"/>
        <v>147</v>
      </c>
      <c r="X133" s="1">
        <f>55+92</f>
        <v>147</v>
      </c>
    </row>
    <row r="134" spans="1:43" x14ac:dyDescent="0.2">
      <c r="A134" s="18" t="s">
        <v>1321</v>
      </c>
      <c r="B134" s="18">
        <v>22504417</v>
      </c>
      <c r="C134" s="18" t="s">
        <v>7421</v>
      </c>
      <c r="D134" s="18"/>
      <c r="E134" s="19">
        <v>678</v>
      </c>
      <c r="F134" s="18"/>
      <c r="G134" s="18" t="s">
        <v>9132</v>
      </c>
      <c r="H134" s="18" t="s">
        <v>9133</v>
      </c>
      <c r="I134" s="24">
        <v>41014</v>
      </c>
      <c r="J134" s="18" t="s">
        <v>11</v>
      </c>
      <c r="K134" s="18" t="s">
        <v>28</v>
      </c>
      <c r="L134" s="18" t="s">
        <v>9134</v>
      </c>
      <c r="M134" s="18"/>
      <c r="N134" s="18" t="s">
        <v>10</v>
      </c>
      <c r="O134" s="18" t="s">
        <v>10</v>
      </c>
      <c r="P134" s="18" t="s">
        <v>9135</v>
      </c>
      <c r="Q134" s="18" t="s">
        <v>9136</v>
      </c>
      <c r="R134" s="18" t="s">
        <v>868</v>
      </c>
      <c r="S134" s="1" t="s">
        <v>6244</v>
      </c>
      <c r="T134" s="1">
        <f t="shared" si="6"/>
        <v>21151</v>
      </c>
      <c r="U134" s="1">
        <f t="shared" si="7"/>
        <v>7795</v>
      </c>
      <c r="V134" s="1">
        <f>2020+5775</f>
        <v>7795</v>
      </c>
      <c r="AH134" s="1">
        <f>SUM(AI134:AT134)</f>
        <v>13356</v>
      </c>
      <c r="AI134" s="1">
        <f>599+11915</f>
        <v>12514</v>
      </c>
      <c r="AM134" s="1">
        <v>605</v>
      </c>
      <c r="AQ134" s="1">
        <f>143+94</f>
        <v>237</v>
      </c>
    </row>
    <row r="135" spans="1:43" x14ac:dyDescent="0.2">
      <c r="A135" s="18" t="s">
        <v>1976</v>
      </c>
      <c r="B135" s="18">
        <v>22504418</v>
      </c>
      <c r="C135" s="18" t="s">
        <v>7421</v>
      </c>
      <c r="D135" s="18"/>
      <c r="E135" s="19">
        <v>787</v>
      </c>
      <c r="F135" s="18"/>
      <c r="G135" s="18" t="s">
        <v>9293</v>
      </c>
      <c r="H135" s="18" t="s">
        <v>9133</v>
      </c>
      <c r="I135" s="24">
        <v>41014</v>
      </c>
      <c r="J135" s="18" t="s">
        <v>11</v>
      </c>
      <c r="K135" s="18" t="s">
        <v>28</v>
      </c>
      <c r="L135" s="18" t="s">
        <v>9294</v>
      </c>
      <c r="M135" s="18"/>
      <c r="N135" s="18" t="s">
        <v>10</v>
      </c>
      <c r="O135" s="18" t="s">
        <v>10</v>
      </c>
      <c r="P135" s="18" t="s">
        <v>9295</v>
      </c>
      <c r="Q135" s="18" t="s">
        <v>9296</v>
      </c>
      <c r="R135" s="18" t="s">
        <v>9297</v>
      </c>
      <c r="S135" s="1" t="s">
        <v>6243</v>
      </c>
      <c r="T135" s="1">
        <f t="shared" si="6"/>
        <v>9927</v>
      </c>
      <c r="U135" s="1">
        <f t="shared" si="7"/>
        <v>8175</v>
      </c>
      <c r="V135" s="1">
        <v>8175</v>
      </c>
      <c r="AH135" s="1">
        <f>SUM(AI135:AT135)</f>
        <v>1752</v>
      </c>
      <c r="AI135" s="1">
        <v>1752</v>
      </c>
    </row>
    <row r="136" spans="1:43" x14ac:dyDescent="0.2">
      <c r="A136" s="18" t="s">
        <v>9265</v>
      </c>
      <c r="B136" s="18">
        <v>22504419</v>
      </c>
      <c r="C136" s="18" t="s">
        <v>7421</v>
      </c>
      <c r="D136" s="18"/>
      <c r="E136" s="19">
        <v>133443</v>
      </c>
      <c r="F136" s="18"/>
      <c r="G136" s="18" t="s">
        <v>9266</v>
      </c>
      <c r="H136" s="18" t="s">
        <v>9267</v>
      </c>
      <c r="I136" s="24">
        <v>41014</v>
      </c>
      <c r="J136" s="18" t="s">
        <v>11</v>
      </c>
      <c r="K136" s="18" t="s">
        <v>28</v>
      </c>
      <c r="L136" s="18" t="s">
        <v>9268</v>
      </c>
      <c r="M136" s="18"/>
      <c r="N136" s="18" t="s">
        <v>10</v>
      </c>
      <c r="O136" s="18" t="s">
        <v>10</v>
      </c>
      <c r="P136" s="18" t="s">
        <v>9269</v>
      </c>
      <c r="Q136" s="18" t="s">
        <v>9270</v>
      </c>
      <c r="R136" s="18" t="s">
        <v>1420</v>
      </c>
      <c r="S136" s="1" t="s">
        <v>6243</v>
      </c>
      <c r="T136" s="1">
        <f t="shared" si="6"/>
        <v>19089</v>
      </c>
      <c r="U136" s="1">
        <f t="shared" si="7"/>
        <v>10768</v>
      </c>
      <c r="V136" s="1">
        <v>10768</v>
      </c>
      <c r="AH136" s="1">
        <f>SUM(AI136:AT136)</f>
        <v>8321</v>
      </c>
      <c r="AI136" s="1">
        <v>8321</v>
      </c>
    </row>
    <row r="137" spans="1:43" x14ac:dyDescent="0.2">
      <c r="A137" s="18" t="s">
        <v>8091</v>
      </c>
      <c r="B137" s="18">
        <v>22504420</v>
      </c>
      <c r="C137" s="18" t="s">
        <v>7421</v>
      </c>
      <c r="D137" s="18"/>
      <c r="E137" s="19">
        <v>695</v>
      </c>
      <c r="F137" s="18"/>
      <c r="G137" s="18" t="s">
        <v>8092</v>
      </c>
      <c r="H137" s="18" t="s">
        <v>7231</v>
      </c>
      <c r="I137" s="24">
        <v>41014</v>
      </c>
      <c r="J137" s="18" t="s">
        <v>11</v>
      </c>
      <c r="K137" s="18" t="s">
        <v>28</v>
      </c>
      <c r="L137" s="18" t="s">
        <v>8093</v>
      </c>
      <c r="M137" s="18"/>
      <c r="N137" s="18" t="s">
        <v>10</v>
      </c>
      <c r="O137" s="18" t="s">
        <v>10</v>
      </c>
      <c r="P137" s="18" t="s">
        <v>8094</v>
      </c>
      <c r="Q137" s="18" t="s">
        <v>8095</v>
      </c>
      <c r="R137" s="18" t="s">
        <v>868</v>
      </c>
      <c r="S137" s="1" t="s">
        <v>6244</v>
      </c>
      <c r="T137" s="1">
        <f t="shared" si="6"/>
        <v>83894</v>
      </c>
      <c r="U137" s="1">
        <f t="shared" si="7"/>
        <v>32961</v>
      </c>
      <c r="AD137" s="1">
        <v>32961</v>
      </c>
      <c r="AH137" s="1">
        <f>SUM(AI137:AT137)</f>
        <v>50933</v>
      </c>
      <c r="AQ137" s="1">
        <v>50933</v>
      </c>
    </row>
    <row r="138" spans="1:43" x14ac:dyDescent="0.2">
      <c r="A138" s="18" t="s">
        <v>3033</v>
      </c>
      <c r="B138" s="18">
        <v>22504421</v>
      </c>
      <c r="C138" s="18" t="s">
        <v>7421</v>
      </c>
      <c r="D138" s="18"/>
      <c r="E138" s="19">
        <v>78</v>
      </c>
      <c r="F138" s="18"/>
      <c r="G138" s="18" t="s">
        <v>9137</v>
      </c>
      <c r="H138" s="18" t="s">
        <v>9133</v>
      </c>
      <c r="I138" s="24">
        <v>41014</v>
      </c>
      <c r="J138" s="18" t="s">
        <v>11</v>
      </c>
      <c r="K138" s="18" t="s">
        <v>28</v>
      </c>
      <c r="L138" s="18" t="s">
        <v>9138</v>
      </c>
      <c r="M138" s="18"/>
      <c r="N138" s="18" t="s">
        <v>10</v>
      </c>
      <c r="O138" s="18" t="s">
        <v>10</v>
      </c>
      <c r="P138" s="18" t="s">
        <v>9139</v>
      </c>
      <c r="Q138" s="18" t="s">
        <v>9140</v>
      </c>
      <c r="R138" s="18" t="s">
        <v>868</v>
      </c>
      <c r="S138" s="1" t="s">
        <v>6243</v>
      </c>
      <c r="T138" s="1">
        <f t="shared" si="6"/>
        <v>11550</v>
      </c>
      <c r="U138" s="1">
        <f t="shared" si="7"/>
        <v>9232</v>
      </c>
      <c r="V138" s="1">
        <v>9232</v>
      </c>
      <c r="AH138" s="1">
        <f>SUM(AI138:AT138)</f>
        <v>2318</v>
      </c>
      <c r="AI138" s="1">
        <v>2318</v>
      </c>
    </row>
    <row r="139" spans="1:43" x14ac:dyDescent="0.2">
      <c r="A139" s="18" t="s">
        <v>8833</v>
      </c>
      <c r="B139" s="18">
        <v>22508271</v>
      </c>
      <c r="C139" s="18" t="s">
        <v>7421</v>
      </c>
      <c r="D139" s="18"/>
      <c r="E139" s="19">
        <v>15</v>
      </c>
      <c r="F139" s="18"/>
      <c r="G139" s="18" t="s">
        <v>453</v>
      </c>
      <c r="H139" s="18" t="s">
        <v>7381</v>
      </c>
      <c r="I139" s="24">
        <v>41015</v>
      </c>
      <c r="J139" s="18" t="s">
        <v>11</v>
      </c>
      <c r="K139" s="18" t="s">
        <v>2891</v>
      </c>
      <c r="L139" s="18" t="s">
        <v>8834</v>
      </c>
      <c r="M139" s="18"/>
      <c r="N139" s="18" t="s">
        <v>10</v>
      </c>
      <c r="O139" s="18" t="s">
        <v>10</v>
      </c>
      <c r="P139" s="18" t="s">
        <v>8835</v>
      </c>
      <c r="Q139" s="18" t="s">
        <v>33</v>
      </c>
      <c r="R139" s="18" t="s">
        <v>9840</v>
      </c>
      <c r="S139" s="1" t="s">
        <v>6244</v>
      </c>
      <c r="T139" s="1">
        <f t="shared" si="6"/>
        <v>5550</v>
      </c>
      <c r="U139" s="1">
        <f t="shared" si="7"/>
        <v>5550</v>
      </c>
      <c r="V139" s="1">
        <v>2349</v>
      </c>
      <c r="W139" s="1">
        <v>1366</v>
      </c>
      <c r="X139" s="1">
        <v>664</v>
      </c>
      <c r="Z139" s="1">
        <v>1171</v>
      </c>
    </row>
    <row r="140" spans="1:43" x14ac:dyDescent="0.2">
      <c r="A140" s="18" t="s">
        <v>10475</v>
      </c>
      <c r="B140" s="18">
        <v>22509378</v>
      </c>
      <c r="C140" s="18" t="s">
        <v>7421</v>
      </c>
      <c r="D140" s="18"/>
      <c r="E140" s="19">
        <v>16</v>
      </c>
      <c r="F140" s="18"/>
      <c r="G140" s="18" t="s">
        <v>10476</v>
      </c>
      <c r="H140" s="18" t="s">
        <v>7032</v>
      </c>
      <c r="I140" s="24">
        <v>41010</v>
      </c>
      <c r="J140" s="18" t="s">
        <v>11</v>
      </c>
      <c r="K140" s="18" t="s">
        <v>181</v>
      </c>
      <c r="L140" s="18" t="s">
        <v>10477</v>
      </c>
      <c r="M140" s="18"/>
      <c r="N140" s="18" t="s">
        <v>11</v>
      </c>
      <c r="O140" s="18" t="s">
        <v>11</v>
      </c>
      <c r="P140" s="18" t="s">
        <v>10478</v>
      </c>
      <c r="Q140" s="18" t="s">
        <v>33</v>
      </c>
      <c r="R140" s="18" t="s">
        <v>10479</v>
      </c>
      <c r="S140" s="1" t="s">
        <v>6243</v>
      </c>
      <c r="T140" s="1">
        <f t="shared" si="6"/>
        <v>1104</v>
      </c>
      <c r="U140" s="1">
        <f t="shared" si="7"/>
        <v>1104</v>
      </c>
      <c r="V140" s="1">
        <v>1104</v>
      </c>
    </row>
    <row r="141" spans="1:43" x14ac:dyDescent="0.2">
      <c r="A141" s="18" t="s">
        <v>7665</v>
      </c>
      <c r="B141" s="18">
        <v>22509407</v>
      </c>
      <c r="C141" s="18" t="s">
        <v>7421</v>
      </c>
      <c r="D141" s="18"/>
      <c r="E141" s="19">
        <v>42</v>
      </c>
      <c r="F141" s="18">
        <v>1</v>
      </c>
      <c r="G141" s="18" t="s">
        <v>193</v>
      </c>
      <c r="H141" s="18" t="s">
        <v>7142</v>
      </c>
      <c r="I141" s="24">
        <v>41010</v>
      </c>
      <c r="J141" s="18" t="s">
        <v>10</v>
      </c>
      <c r="K141" s="18" t="s">
        <v>181</v>
      </c>
      <c r="L141" s="18" t="s">
        <v>7666</v>
      </c>
      <c r="M141" s="18"/>
      <c r="N141" s="18" t="s">
        <v>10</v>
      </c>
      <c r="O141" s="18" t="s">
        <v>10</v>
      </c>
      <c r="P141" s="18" t="s">
        <v>7667</v>
      </c>
      <c r="Q141" s="18" t="s">
        <v>7668</v>
      </c>
      <c r="R141" s="18" t="s">
        <v>7669</v>
      </c>
      <c r="S141" s="1" t="s">
        <v>6243</v>
      </c>
      <c r="T141" s="1">
        <f t="shared" si="6"/>
        <v>13731</v>
      </c>
      <c r="U141" s="1">
        <f t="shared" si="7"/>
        <v>10589</v>
      </c>
      <c r="V141" s="1">
        <f>2261+8328</f>
        <v>10589</v>
      </c>
      <c r="AH141" s="1">
        <f>SUM(AI141:AT141)</f>
        <v>3142</v>
      </c>
      <c r="AI141" s="1">
        <f>1307+1835</f>
        <v>3142</v>
      </c>
    </row>
    <row r="142" spans="1:43" x14ac:dyDescent="0.2">
      <c r="A142" s="18" t="s">
        <v>8534</v>
      </c>
      <c r="B142" s="18">
        <v>22510845</v>
      </c>
      <c r="C142" s="18" t="s">
        <v>7421</v>
      </c>
      <c r="D142" s="18"/>
      <c r="E142" s="19">
        <v>100</v>
      </c>
      <c r="F142" s="18"/>
      <c r="G142" s="18" t="s">
        <v>3132</v>
      </c>
      <c r="H142" s="18" t="s">
        <v>7185</v>
      </c>
      <c r="I142" s="24">
        <v>41017</v>
      </c>
      <c r="J142" s="18" t="s">
        <v>10</v>
      </c>
      <c r="K142" s="18" t="s">
        <v>592</v>
      </c>
      <c r="L142" s="18" t="s">
        <v>8535</v>
      </c>
      <c r="M142" s="18"/>
      <c r="N142" s="18" t="s">
        <v>10</v>
      </c>
      <c r="O142" s="18" t="s">
        <v>10</v>
      </c>
      <c r="P142" s="18" t="s">
        <v>8536</v>
      </c>
      <c r="Q142" s="18" t="s">
        <v>33</v>
      </c>
      <c r="R142" s="18" t="s">
        <v>8537</v>
      </c>
      <c r="S142" s="1" t="s">
        <v>6243</v>
      </c>
      <c r="T142" s="1">
        <f t="shared" si="6"/>
        <v>6421</v>
      </c>
      <c r="U142" s="1">
        <f t="shared" si="7"/>
        <v>6421</v>
      </c>
      <c r="V142" s="1">
        <v>6421</v>
      </c>
    </row>
    <row r="143" spans="1:43" x14ac:dyDescent="0.2">
      <c r="A143" s="18" t="s">
        <v>8274</v>
      </c>
      <c r="B143" s="18">
        <v>22511988</v>
      </c>
      <c r="C143" s="18" t="s">
        <v>7421</v>
      </c>
      <c r="D143" s="18"/>
      <c r="E143" s="19">
        <v>12</v>
      </c>
      <c r="F143" s="18"/>
      <c r="G143" s="18" t="s">
        <v>8275</v>
      </c>
      <c r="H143" s="18" t="s">
        <v>7211</v>
      </c>
      <c r="I143" s="24">
        <v>41011</v>
      </c>
      <c r="J143" s="18" t="s">
        <v>11</v>
      </c>
      <c r="K143" s="18" t="s">
        <v>181</v>
      </c>
      <c r="L143" s="18" t="s">
        <v>8276</v>
      </c>
      <c r="M143" s="18"/>
      <c r="N143" s="18" t="s">
        <v>10</v>
      </c>
      <c r="O143" s="18" t="s">
        <v>10</v>
      </c>
      <c r="P143" s="18" t="s">
        <v>8277</v>
      </c>
      <c r="Q143" s="18" t="s">
        <v>33</v>
      </c>
      <c r="R143" s="18" t="s">
        <v>8278</v>
      </c>
      <c r="S143" s="1" t="s">
        <v>6243</v>
      </c>
      <c r="T143" s="1">
        <f t="shared" si="6"/>
        <v>1841</v>
      </c>
      <c r="U143" s="1">
        <f t="shared" si="7"/>
        <v>1841</v>
      </c>
      <c r="V143" s="1">
        <v>1841</v>
      </c>
    </row>
    <row r="144" spans="1:43" x14ac:dyDescent="0.2">
      <c r="A144" s="18" t="s">
        <v>9036</v>
      </c>
      <c r="B144" s="18">
        <v>22513714</v>
      </c>
      <c r="C144" s="18" t="s">
        <v>7421</v>
      </c>
      <c r="D144" s="18"/>
      <c r="E144" s="19">
        <v>42</v>
      </c>
      <c r="F144" s="18"/>
      <c r="G144" s="18" t="s">
        <v>3439</v>
      </c>
      <c r="H144" s="18" t="s">
        <v>7264</v>
      </c>
      <c r="I144" s="24">
        <v>41018</v>
      </c>
      <c r="J144" s="18" t="s">
        <v>11</v>
      </c>
      <c r="K144" s="18" t="s">
        <v>689</v>
      </c>
      <c r="L144" s="18" t="s">
        <v>9037</v>
      </c>
      <c r="M144" s="18"/>
      <c r="N144" s="18" t="s">
        <v>10</v>
      </c>
      <c r="O144" s="18" t="s">
        <v>10</v>
      </c>
      <c r="P144" s="18" t="s">
        <v>9038</v>
      </c>
      <c r="Q144" s="18" t="s">
        <v>33</v>
      </c>
      <c r="R144" s="18" t="s">
        <v>9840</v>
      </c>
      <c r="S144" s="1" t="s">
        <v>6242</v>
      </c>
      <c r="T144" s="1">
        <f t="shared" si="6"/>
        <v>8834</v>
      </c>
      <c r="U144" s="1">
        <f t="shared" si="7"/>
        <v>8834</v>
      </c>
      <c r="X144" s="1">
        <f>520+8314</f>
        <v>8834</v>
      </c>
    </row>
    <row r="145" spans="1:44" x14ac:dyDescent="0.2">
      <c r="A145" s="18" t="s">
        <v>10124</v>
      </c>
      <c r="B145" s="18">
        <v>22521342</v>
      </c>
      <c r="C145" s="18" t="s">
        <v>7421</v>
      </c>
      <c r="D145" s="18"/>
      <c r="E145" s="19">
        <v>45</v>
      </c>
      <c r="F145" s="18"/>
      <c r="G145" s="18" t="s">
        <v>1192</v>
      </c>
      <c r="H145" s="18" t="s">
        <v>897</v>
      </c>
      <c r="I145" s="24">
        <v>41016</v>
      </c>
      <c r="J145" s="18" t="s">
        <v>10</v>
      </c>
      <c r="K145" s="18" t="s">
        <v>2712</v>
      </c>
      <c r="L145" s="18" t="s">
        <v>10125</v>
      </c>
      <c r="M145" s="18"/>
      <c r="N145" s="18" t="s">
        <v>10</v>
      </c>
      <c r="O145" s="18" t="s">
        <v>10</v>
      </c>
      <c r="P145" s="18" t="s">
        <v>10126</v>
      </c>
      <c r="Q145" s="18" t="s">
        <v>10127</v>
      </c>
      <c r="R145" s="18" t="s">
        <v>10128</v>
      </c>
      <c r="S145" s="1" t="s">
        <v>6243</v>
      </c>
      <c r="T145" s="1">
        <f t="shared" si="6"/>
        <v>8406</v>
      </c>
      <c r="U145" s="1">
        <f t="shared" si="7"/>
        <v>3677</v>
      </c>
      <c r="V145" s="1">
        <f>715+2962</f>
        <v>3677</v>
      </c>
      <c r="AH145" s="1">
        <f>SUM(AI145:AT145)</f>
        <v>4729</v>
      </c>
      <c r="AI145" s="1">
        <f>1221+3508</f>
        <v>4729</v>
      </c>
    </row>
    <row r="146" spans="1:44" x14ac:dyDescent="0.2">
      <c r="A146" s="18" t="s">
        <v>2102</v>
      </c>
      <c r="B146" s="18">
        <v>22522925</v>
      </c>
      <c r="C146" s="18" t="s">
        <v>7421</v>
      </c>
      <c r="D146" s="18"/>
      <c r="E146" s="19">
        <v>8546</v>
      </c>
      <c r="F146" s="18">
        <v>1</v>
      </c>
      <c r="G146" s="18" t="s">
        <v>8945</v>
      </c>
      <c r="H146" s="18" t="s">
        <v>8946</v>
      </c>
      <c r="I146" s="24">
        <v>41017</v>
      </c>
      <c r="J146" s="18" t="s">
        <v>10</v>
      </c>
      <c r="K146" s="18" t="s">
        <v>58</v>
      </c>
      <c r="L146" s="18" t="s">
        <v>8947</v>
      </c>
      <c r="M146" s="18"/>
      <c r="N146" s="18" t="s">
        <v>11</v>
      </c>
      <c r="O146" s="18" t="s">
        <v>11</v>
      </c>
      <c r="P146" s="18" t="s">
        <v>10939</v>
      </c>
      <c r="Q146" s="18" t="s">
        <v>33</v>
      </c>
      <c r="R146" s="18" t="s">
        <v>8948</v>
      </c>
      <c r="S146" s="1" t="s">
        <v>6248</v>
      </c>
      <c r="T146" s="1">
        <f t="shared" si="6"/>
        <v>997</v>
      </c>
      <c r="U146" s="1">
        <f t="shared" si="7"/>
        <v>997</v>
      </c>
      <c r="AE146" s="1">
        <v>997</v>
      </c>
    </row>
    <row r="147" spans="1:44" x14ac:dyDescent="0.2">
      <c r="A147" s="18" t="s">
        <v>9761</v>
      </c>
      <c r="B147" s="18">
        <v>22524403</v>
      </c>
      <c r="C147" s="18" t="s">
        <v>7421</v>
      </c>
      <c r="D147" s="18"/>
      <c r="E147" s="19">
        <v>42</v>
      </c>
      <c r="F147" s="18"/>
      <c r="G147" s="18" t="s">
        <v>345</v>
      </c>
      <c r="H147" s="18" t="s">
        <v>7156</v>
      </c>
      <c r="I147" s="24">
        <v>41023</v>
      </c>
      <c r="J147" s="18" t="s">
        <v>11</v>
      </c>
      <c r="K147" s="18" t="s">
        <v>9762</v>
      </c>
      <c r="L147" s="18" t="s">
        <v>9763</v>
      </c>
      <c r="M147" s="18"/>
      <c r="N147" s="18" t="s">
        <v>10</v>
      </c>
      <c r="O147" s="18" t="s">
        <v>10</v>
      </c>
      <c r="P147" s="18" t="s">
        <v>9764</v>
      </c>
      <c r="Q147" s="18" t="s">
        <v>9765</v>
      </c>
      <c r="R147" s="18" t="s">
        <v>9766</v>
      </c>
      <c r="S147" s="1" t="s">
        <v>6244</v>
      </c>
      <c r="T147" s="1">
        <f t="shared" si="6"/>
        <v>4200</v>
      </c>
      <c r="U147" s="1">
        <f t="shared" si="7"/>
        <v>3365</v>
      </c>
      <c r="V147" s="1">
        <v>2267</v>
      </c>
      <c r="W147" s="1">
        <v>999</v>
      </c>
      <c r="Z147" s="1">
        <v>99</v>
      </c>
      <c r="AH147" s="1">
        <f t="shared" ref="AH147:AH152" si="8">SUM(AI147:AT147)</f>
        <v>835</v>
      </c>
      <c r="AR147" s="1">
        <v>835</v>
      </c>
    </row>
    <row r="148" spans="1:44" x14ac:dyDescent="0.2">
      <c r="A148" s="18" t="s">
        <v>10748</v>
      </c>
      <c r="B148" s="18">
        <v>22526605</v>
      </c>
      <c r="C148" s="18" t="s">
        <v>7421</v>
      </c>
      <c r="D148" s="18"/>
      <c r="E148" s="19">
        <v>10</v>
      </c>
      <c r="F148" s="18"/>
      <c r="G148" s="18" t="s">
        <v>10749</v>
      </c>
      <c r="H148" s="18" t="s">
        <v>10750</v>
      </c>
      <c r="I148" s="24">
        <v>41011</v>
      </c>
      <c r="J148" s="18" t="s">
        <v>11</v>
      </c>
      <c r="K148" s="18" t="s">
        <v>862</v>
      </c>
      <c r="L148" s="18" t="s">
        <v>10751</v>
      </c>
      <c r="M148" s="18"/>
      <c r="N148" s="18" t="s">
        <v>10</v>
      </c>
      <c r="O148" s="18" t="s">
        <v>10</v>
      </c>
      <c r="P148" s="18" t="s">
        <v>10752</v>
      </c>
      <c r="Q148" s="18" t="s">
        <v>10753</v>
      </c>
      <c r="R148" s="18" t="s">
        <v>10754</v>
      </c>
      <c r="S148" s="1" t="s">
        <v>6243</v>
      </c>
      <c r="T148" s="1">
        <f t="shared" si="6"/>
        <v>2997</v>
      </c>
      <c r="U148" s="1">
        <f t="shared" si="7"/>
        <v>2142</v>
      </c>
      <c r="V148" s="1">
        <v>2142</v>
      </c>
      <c r="AH148" s="1">
        <f t="shared" si="8"/>
        <v>855</v>
      </c>
      <c r="AI148" s="1">
        <v>855</v>
      </c>
    </row>
    <row r="149" spans="1:44" x14ac:dyDescent="0.2">
      <c r="A149" s="18" t="s">
        <v>9967</v>
      </c>
      <c r="B149" s="18">
        <v>22532574</v>
      </c>
      <c r="C149" s="18" t="s">
        <v>7421</v>
      </c>
      <c r="D149" s="18"/>
      <c r="E149" s="19">
        <v>139</v>
      </c>
      <c r="F149" s="18"/>
      <c r="G149" s="18" t="s">
        <v>9968</v>
      </c>
      <c r="H149" s="18" t="s">
        <v>9969</v>
      </c>
      <c r="I149" s="24">
        <v>41023</v>
      </c>
      <c r="J149" s="18" t="s">
        <v>11</v>
      </c>
      <c r="K149" s="18" t="s">
        <v>103</v>
      </c>
      <c r="L149" s="18" t="s">
        <v>9970</v>
      </c>
      <c r="M149" s="18"/>
      <c r="N149" s="18" t="s">
        <v>11</v>
      </c>
      <c r="O149" s="18" t="s">
        <v>11</v>
      </c>
      <c r="P149" s="18" t="s">
        <v>9971</v>
      </c>
      <c r="Q149" s="18" t="s">
        <v>9972</v>
      </c>
      <c r="R149" s="18" t="s">
        <v>9973</v>
      </c>
      <c r="S149" s="1" t="s">
        <v>6243</v>
      </c>
      <c r="T149" s="1">
        <f t="shared" si="6"/>
        <v>10367</v>
      </c>
      <c r="U149" s="1">
        <f t="shared" si="7"/>
        <v>1241</v>
      </c>
      <c r="V149" s="1">
        <v>1241</v>
      </c>
      <c r="AH149" s="1">
        <f t="shared" si="8"/>
        <v>9126</v>
      </c>
      <c r="AI149" s="1">
        <v>9126</v>
      </c>
    </row>
    <row r="150" spans="1:44" x14ac:dyDescent="0.2">
      <c r="A150" s="18" t="s">
        <v>7624</v>
      </c>
      <c r="B150" s="18">
        <v>22532847</v>
      </c>
      <c r="C150" s="18" t="s">
        <v>7421</v>
      </c>
      <c r="D150" s="18"/>
      <c r="E150" s="19">
        <v>75</v>
      </c>
      <c r="F150" s="18"/>
      <c r="G150" s="18" t="s">
        <v>8417</v>
      </c>
      <c r="H150" s="18" t="s">
        <v>8418</v>
      </c>
      <c r="I150" s="24">
        <v>41018</v>
      </c>
      <c r="J150" s="18" t="s">
        <v>10</v>
      </c>
      <c r="K150" s="18" t="s">
        <v>181</v>
      </c>
      <c r="L150" s="18" t="s">
        <v>8419</v>
      </c>
      <c r="M150" s="18"/>
      <c r="N150" s="18" t="s">
        <v>11</v>
      </c>
      <c r="O150" s="18" t="s">
        <v>10</v>
      </c>
      <c r="P150" s="18" t="s">
        <v>8420</v>
      </c>
      <c r="Q150" s="18" t="s">
        <v>8421</v>
      </c>
      <c r="R150" s="1" t="s">
        <v>10933</v>
      </c>
      <c r="S150" s="1" t="s">
        <v>6243</v>
      </c>
      <c r="T150" s="1">
        <f t="shared" si="6"/>
        <v>7519</v>
      </c>
      <c r="U150" s="1">
        <f t="shared" si="7"/>
        <v>2250</v>
      </c>
      <c r="V150" s="1">
        <f>135+270+525+630+690</f>
        <v>2250</v>
      </c>
      <c r="AH150" s="1">
        <f t="shared" si="8"/>
        <v>5269</v>
      </c>
      <c r="AI150" s="1">
        <f>2188+447+800+945+889</f>
        <v>5269</v>
      </c>
    </row>
    <row r="151" spans="1:44" x14ac:dyDescent="0.2">
      <c r="A151" s="18" t="s">
        <v>3090</v>
      </c>
      <c r="B151" s="18">
        <v>22538805</v>
      </c>
      <c r="C151" s="18" t="s">
        <v>7421</v>
      </c>
      <c r="D151" s="18"/>
      <c r="E151" s="19">
        <v>50</v>
      </c>
      <c r="F151" s="18"/>
      <c r="G151" s="18" t="s">
        <v>7848</v>
      </c>
      <c r="H151" s="18" t="s">
        <v>7139</v>
      </c>
      <c r="I151" s="24">
        <v>41025</v>
      </c>
      <c r="J151" s="18" t="s">
        <v>11</v>
      </c>
      <c r="K151" s="18" t="s">
        <v>1637</v>
      </c>
      <c r="L151" s="18" t="s">
        <v>7849</v>
      </c>
      <c r="M151" s="18"/>
      <c r="N151" s="18" t="s">
        <v>10</v>
      </c>
      <c r="O151" s="18" t="s">
        <v>10</v>
      </c>
      <c r="P151" s="18" t="s">
        <v>7850</v>
      </c>
      <c r="Q151" s="18" t="s">
        <v>7851</v>
      </c>
      <c r="R151" s="18" t="s">
        <v>7852</v>
      </c>
      <c r="S151" s="1" t="s">
        <v>6243</v>
      </c>
      <c r="T151" s="1">
        <f t="shared" si="6"/>
        <v>825</v>
      </c>
      <c r="U151" s="1">
        <f t="shared" si="7"/>
        <v>418</v>
      </c>
      <c r="V151" s="1">
        <v>418</v>
      </c>
      <c r="AH151" s="1">
        <f t="shared" si="8"/>
        <v>407</v>
      </c>
      <c r="AI151" s="1">
        <v>407</v>
      </c>
    </row>
    <row r="152" spans="1:44" x14ac:dyDescent="0.2">
      <c r="A152" s="18" t="s">
        <v>1211</v>
      </c>
      <c r="B152" s="18">
        <v>22541561</v>
      </c>
      <c r="C152" s="18" t="s">
        <v>7421</v>
      </c>
      <c r="D152" s="18"/>
      <c r="E152" s="19">
        <v>36</v>
      </c>
      <c r="F152" s="18"/>
      <c r="G152" s="18" t="s">
        <v>9804</v>
      </c>
      <c r="H152" s="18" t="s">
        <v>6691</v>
      </c>
      <c r="I152" s="24">
        <v>41025</v>
      </c>
      <c r="J152" s="18" t="s">
        <v>11</v>
      </c>
      <c r="K152" s="18" t="s">
        <v>16</v>
      </c>
      <c r="L152" s="18" t="s">
        <v>9805</v>
      </c>
      <c r="M152" s="18"/>
      <c r="N152" s="18" t="s">
        <v>11</v>
      </c>
      <c r="O152" s="18" t="s">
        <v>11</v>
      </c>
      <c r="P152" s="18" t="s">
        <v>9806</v>
      </c>
      <c r="Q152" s="18" t="s">
        <v>9807</v>
      </c>
      <c r="R152" s="18" t="s">
        <v>9808</v>
      </c>
      <c r="S152" s="1" t="s">
        <v>6242</v>
      </c>
      <c r="T152" s="1">
        <f t="shared" si="6"/>
        <v>6802</v>
      </c>
      <c r="U152" s="1">
        <f t="shared" si="7"/>
        <v>2665</v>
      </c>
      <c r="X152" s="1">
        <f>802+1863</f>
        <v>2665</v>
      </c>
      <c r="AH152" s="1">
        <f t="shared" si="8"/>
        <v>4137</v>
      </c>
      <c r="AK152" s="1">
        <f>1424+2713</f>
        <v>4137</v>
      </c>
    </row>
    <row r="153" spans="1:44" x14ac:dyDescent="0.2">
      <c r="A153" s="18" t="s">
        <v>7696</v>
      </c>
      <c r="B153" s="18">
        <v>22542470</v>
      </c>
      <c r="C153" s="18" t="s">
        <v>7421</v>
      </c>
      <c r="D153" s="18"/>
      <c r="E153" s="19">
        <v>42</v>
      </c>
      <c r="F153" s="18"/>
      <c r="G153" s="18" t="s">
        <v>7697</v>
      </c>
      <c r="H153" s="18" t="s">
        <v>7698</v>
      </c>
      <c r="I153" s="24">
        <v>41023</v>
      </c>
      <c r="J153" s="18" t="s">
        <v>11</v>
      </c>
      <c r="K153" s="18" t="s">
        <v>2184</v>
      </c>
      <c r="L153" s="18" t="s">
        <v>7699</v>
      </c>
      <c r="M153" s="18"/>
      <c r="N153" s="18" t="s">
        <v>10</v>
      </c>
      <c r="O153" s="18" t="s">
        <v>10</v>
      </c>
      <c r="P153" s="18" t="s">
        <v>7700</v>
      </c>
      <c r="Q153" s="18" t="s">
        <v>33</v>
      </c>
      <c r="R153" s="18" t="s">
        <v>10924</v>
      </c>
      <c r="S153" s="1" t="s">
        <v>6244</v>
      </c>
      <c r="T153" s="1">
        <f t="shared" si="6"/>
        <v>1014</v>
      </c>
      <c r="U153" s="1">
        <f t="shared" si="7"/>
        <v>1014</v>
      </c>
      <c r="V153" s="1">
        <v>580</v>
      </c>
      <c r="W153" s="1">
        <v>217</v>
      </c>
      <c r="Z153" s="1">
        <v>217</v>
      </c>
    </row>
    <row r="154" spans="1:44" x14ac:dyDescent="0.2">
      <c r="A154" s="18" t="s">
        <v>1489</v>
      </c>
      <c r="B154" s="18">
        <v>22544364</v>
      </c>
      <c r="C154" s="18" t="s">
        <v>7421</v>
      </c>
      <c r="D154" s="18"/>
      <c r="E154" s="19">
        <v>59</v>
      </c>
      <c r="F154" s="18"/>
      <c r="G154" s="18" t="s">
        <v>10896</v>
      </c>
      <c r="H154" s="18" t="s">
        <v>10897</v>
      </c>
      <c r="I154" s="24">
        <v>41028</v>
      </c>
      <c r="J154" s="18" t="s">
        <v>11</v>
      </c>
      <c r="K154" s="18" t="s">
        <v>28</v>
      </c>
      <c r="L154" s="18" t="s">
        <v>10898</v>
      </c>
      <c r="M154" s="18"/>
      <c r="N154" s="18" t="s">
        <v>10</v>
      </c>
      <c r="O154" s="18" t="s">
        <v>10</v>
      </c>
      <c r="P154" s="18" t="s">
        <v>10899</v>
      </c>
      <c r="Q154" s="18" t="s">
        <v>10900</v>
      </c>
      <c r="R154" s="18" t="s">
        <v>10901</v>
      </c>
      <c r="S154" s="1" t="s">
        <v>6243</v>
      </c>
      <c r="T154" s="1">
        <f t="shared" si="6"/>
        <v>7975</v>
      </c>
      <c r="U154" s="1">
        <f t="shared" si="7"/>
        <v>2636</v>
      </c>
      <c r="V154" s="1">
        <f>757+1879</f>
        <v>2636</v>
      </c>
      <c r="AH154" s="1">
        <f>SUM(AI154:AT154)</f>
        <v>5339</v>
      </c>
      <c r="AI154" s="1">
        <f>1488+3851</f>
        <v>5339</v>
      </c>
    </row>
    <row r="155" spans="1:44" x14ac:dyDescent="0.2">
      <c r="A155" s="18" t="s">
        <v>1331</v>
      </c>
      <c r="B155" s="18">
        <v>22544366</v>
      </c>
      <c r="C155" s="18" t="s">
        <v>7421</v>
      </c>
      <c r="D155" s="18"/>
      <c r="E155" s="19">
        <v>26</v>
      </c>
      <c r="F155" s="18"/>
      <c r="G155" s="18" t="s">
        <v>991</v>
      </c>
      <c r="H155" s="18" t="s">
        <v>7167</v>
      </c>
      <c r="I155" s="24">
        <v>41028</v>
      </c>
      <c r="J155" s="18" t="s">
        <v>11</v>
      </c>
      <c r="K155" s="18" t="s">
        <v>28</v>
      </c>
      <c r="L155" s="18" t="s">
        <v>7863</v>
      </c>
      <c r="M155" s="18"/>
      <c r="N155" s="18" t="s">
        <v>10</v>
      </c>
      <c r="O155" s="18" t="s">
        <v>10</v>
      </c>
      <c r="P155" s="18" t="s">
        <v>7864</v>
      </c>
      <c r="Q155" s="18" t="s">
        <v>7865</v>
      </c>
      <c r="R155" s="18" t="s">
        <v>868</v>
      </c>
      <c r="S155" s="1" t="s">
        <v>6243</v>
      </c>
      <c r="T155" s="1">
        <f t="shared" si="6"/>
        <v>74544</v>
      </c>
      <c r="U155" s="1">
        <f t="shared" si="7"/>
        <v>59133</v>
      </c>
      <c r="V155" s="1">
        <f>6707+52426</f>
        <v>59133</v>
      </c>
      <c r="AH155" s="1">
        <f>SUM(AI155:AT155)</f>
        <v>15411</v>
      </c>
      <c r="AI155" s="1">
        <f>5381+10030</f>
        <v>15411</v>
      </c>
    </row>
    <row r="156" spans="1:44" x14ac:dyDescent="0.2">
      <c r="A156" s="18" t="s">
        <v>10050</v>
      </c>
      <c r="B156" s="18">
        <v>22550155</v>
      </c>
      <c r="C156" s="18" t="s">
        <v>7421</v>
      </c>
      <c r="D156" s="18"/>
      <c r="E156" s="19">
        <v>11</v>
      </c>
      <c r="F156" s="18"/>
      <c r="G156" s="18" t="s">
        <v>10051</v>
      </c>
      <c r="H156" s="18" t="s">
        <v>10052</v>
      </c>
      <c r="I156" s="24">
        <v>41030</v>
      </c>
      <c r="J156" s="18" t="s">
        <v>10</v>
      </c>
      <c r="K156" s="18" t="s">
        <v>1371</v>
      </c>
      <c r="L156" s="18" t="s">
        <v>10053</v>
      </c>
      <c r="M156" s="18"/>
      <c r="N156" s="18" t="s">
        <v>10</v>
      </c>
      <c r="O156" s="18" t="s">
        <v>10</v>
      </c>
      <c r="P156" s="18" t="s">
        <v>10054</v>
      </c>
      <c r="Q156" s="18" t="s">
        <v>33</v>
      </c>
      <c r="R156" s="18" t="s">
        <v>10055</v>
      </c>
      <c r="S156" s="1" t="s">
        <v>6244</v>
      </c>
      <c r="T156" s="1">
        <f t="shared" si="6"/>
        <v>241</v>
      </c>
      <c r="U156" s="1">
        <f t="shared" si="7"/>
        <v>241</v>
      </c>
      <c r="V156" s="1">
        <v>125</v>
      </c>
      <c r="W156" s="1">
        <v>116</v>
      </c>
    </row>
    <row r="157" spans="1:44" x14ac:dyDescent="0.2">
      <c r="A157" s="18" t="s">
        <v>10738</v>
      </c>
      <c r="B157" s="18">
        <v>22551897</v>
      </c>
      <c r="C157" s="18" t="s">
        <v>7421</v>
      </c>
      <c r="D157" s="18"/>
      <c r="E157" s="19">
        <v>100</v>
      </c>
      <c r="F157" s="18"/>
      <c r="G157" s="18" t="s">
        <v>10739</v>
      </c>
      <c r="H157" s="18" t="s">
        <v>7123</v>
      </c>
      <c r="I157" s="24">
        <v>41032</v>
      </c>
      <c r="J157" s="18" t="s">
        <v>11</v>
      </c>
      <c r="K157" s="18" t="s">
        <v>689</v>
      </c>
      <c r="L157" s="18" t="s">
        <v>10740</v>
      </c>
      <c r="M157" s="18"/>
      <c r="N157" s="18" t="s">
        <v>10</v>
      </c>
      <c r="O157" s="18" t="s">
        <v>10</v>
      </c>
      <c r="P157" s="18" t="s">
        <v>10741</v>
      </c>
      <c r="Q157" s="18" t="s">
        <v>10742</v>
      </c>
      <c r="R157" s="18" t="s">
        <v>10743</v>
      </c>
      <c r="S157" s="1" t="s">
        <v>6242</v>
      </c>
      <c r="T157" s="1">
        <f t="shared" si="6"/>
        <v>3859</v>
      </c>
      <c r="U157" s="1">
        <f t="shared" si="7"/>
        <v>1850</v>
      </c>
      <c r="X157" s="1">
        <f>433+295+188+934</f>
        <v>1850</v>
      </c>
      <c r="AH157" s="1">
        <f>SUM(AI157:AT157)</f>
        <v>2009</v>
      </c>
      <c r="AK157" s="1">
        <f>369+439+112+1089</f>
        <v>2009</v>
      </c>
    </row>
    <row r="158" spans="1:44" x14ac:dyDescent="0.2">
      <c r="A158" s="18" t="s">
        <v>1445</v>
      </c>
      <c r="B158" s="18">
        <v>22554406</v>
      </c>
      <c r="C158" s="18" t="s">
        <v>7421</v>
      </c>
      <c r="D158" s="18"/>
      <c r="E158" s="19">
        <v>137</v>
      </c>
      <c r="F158" s="18"/>
      <c r="G158" s="18" t="s">
        <v>8875</v>
      </c>
      <c r="H158" s="18" t="s">
        <v>8876</v>
      </c>
      <c r="I158" s="24">
        <v>41032</v>
      </c>
      <c r="J158" s="18" t="s">
        <v>11</v>
      </c>
      <c r="K158" s="18" t="s">
        <v>302</v>
      </c>
      <c r="L158" s="18" t="s">
        <v>8877</v>
      </c>
      <c r="M158" s="18"/>
      <c r="N158" s="18" t="s">
        <v>10</v>
      </c>
      <c r="O158" s="18" t="s">
        <v>10</v>
      </c>
      <c r="P158" s="18" t="s">
        <v>8878</v>
      </c>
      <c r="Q158" s="18" t="s">
        <v>33</v>
      </c>
      <c r="R158" s="18" t="s">
        <v>8879</v>
      </c>
      <c r="S158" s="1" t="s">
        <v>6243</v>
      </c>
      <c r="T158" s="1">
        <f t="shared" si="6"/>
        <v>1560</v>
      </c>
      <c r="U158" s="1">
        <f t="shared" si="7"/>
        <v>1560</v>
      </c>
      <c r="V158" s="1">
        <v>1560</v>
      </c>
    </row>
    <row r="159" spans="1:44" x14ac:dyDescent="0.2">
      <c r="A159" s="18" t="s">
        <v>8560</v>
      </c>
      <c r="B159" s="18">
        <v>22556244</v>
      </c>
      <c r="C159" s="18" t="s">
        <v>7421</v>
      </c>
      <c r="D159" s="18"/>
      <c r="E159" s="19">
        <v>1</v>
      </c>
      <c r="F159" s="18"/>
      <c r="G159" s="18" t="s">
        <v>9043</v>
      </c>
      <c r="H159" s="18" t="s">
        <v>571</v>
      </c>
      <c r="I159" s="24">
        <v>41033</v>
      </c>
      <c r="J159" s="18" t="s">
        <v>11</v>
      </c>
      <c r="K159" s="18" t="s">
        <v>25</v>
      </c>
      <c r="L159" s="18" t="s">
        <v>9044</v>
      </c>
      <c r="M159" s="18"/>
      <c r="N159" s="18" t="s">
        <v>10</v>
      </c>
      <c r="O159" s="18" t="s">
        <v>10</v>
      </c>
      <c r="P159" s="18" t="s">
        <v>9045</v>
      </c>
      <c r="Q159" s="18" t="s">
        <v>33</v>
      </c>
      <c r="R159" s="18" t="s">
        <v>9046</v>
      </c>
      <c r="S159" s="1" t="s">
        <v>6433</v>
      </c>
      <c r="T159" s="1">
        <f t="shared" si="6"/>
        <v>85</v>
      </c>
      <c r="U159" s="1">
        <f t="shared" si="7"/>
        <v>85</v>
      </c>
      <c r="AB159" s="1">
        <v>85</v>
      </c>
    </row>
    <row r="160" spans="1:44" x14ac:dyDescent="0.2">
      <c r="A160" s="18" t="s">
        <v>9013</v>
      </c>
      <c r="B160" s="18">
        <v>22558069</v>
      </c>
      <c r="C160" s="18" t="s">
        <v>7421</v>
      </c>
      <c r="D160" s="18"/>
      <c r="E160" s="19">
        <v>52</v>
      </c>
      <c r="F160" s="18"/>
      <c r="G160" s="18" t="s">
        <v>9786</v>
      </c>
      <c r="H160" s="18" t="s">
        <v>7211</v>
      </c>
      <c r="I160" s="24">
        <v>41026</v>
      </c>
      <c r="J160" s="18" t="s">
        <v>11</v>
      </c>
      <c r="K160" s="18" t="s">
        <v>181</v>
      </c>
      <c r="L160" s="18" t="s">
        <v>9787</v>
      </c>
      <c r="M160" s="18"/>
      <c r="N160" s="18" t="s">
        <v>10</v>
      </c>
      <c r="O160" s="18" t="s">
        <v>10</v>
      </c>
      <c r="P160" s="18" t="s">
        <v>9788</v>
      </c>
      <c r="Q160" s="18" t="s">
        <v>9789</v>
      </c>
      <c r="R160" s="18" t="s">
        <v>9790</v>
      </c>
      <c r="S160" s="1" t="s">
        <v>6242</v>
      </c>
      <c r="T160" s="1">
        <f t="shared" si="6"/>
        <v>10732</v>
      </c>
      <c r="U160" s="1">
        <f t="shared" si="7"/>
        <v>9103</v>
      </c>
      <c r="X160" s="1">
        <v>9103</v>
      </c>
      <c r="AH160" s="1">
        <f t="shared" ref="AH160:AH165" si="9">SUM(AI160:AT160)</f>
        <v>1629</v>
      </c>
      <c r="AK160" s="1">
        <v>1629</v>
      </c>
    </row>
    <row r="161" spans="1:44" x14ac:dyDescent="0.2">
      <c r="A161" s="18" t="s">
        <v>10480</v>
      </c>
      <c r="B161" s="18">
        <v>22558097</v>
      </c>
      <c r="C161" s="18" t="s">
        <v>7421</v>
      </c>
      <c r="D161" s="18"/>
      <c r="E161" s="19">
        <v>27</v>
      </c>
      <c r="F161" s="18"/>
      <c r="G161" s="18" t="s">
        <v>10486</v>
      </c>
      <c r="H161" s="18" t="s">
        <v>10487</v>
      </c>
      <c r="I161" s="24">
        <v>41026</v>
      </c>
      <c r="J161" s="18" t="s">
        <v>11</v>
      </c>
      <c r="K161" s="18" t="s">
        <v>181</v>
      </c>
      <c r="L161" s="18" t="s">
        <v>10488</v>
      </c>
      <c r="M161" s="18"/>
      <c r="N161" s="18" t="s">
        <v>10</v>
      </c>
      <c r="O161" s="18" t="s">
        <v>10</v>
      </c>
      <c r="P161" s="18" t="s">
        <v>10489</v>
      </c>
      <c r="Q161" s="18" t="s">
        <v>10490</v>
      </c>
      <c r="R161" s="18" t="s">
        <v>10491</v>
      </c>
      <c r="S161" s="1" t="s">
        <v>6440</v>
      </c>
      <c r="T161" s="1">
        <f t="shared" si="6"/>
        <v>3057</v>
      </c>
      <c r="U161" s="1">
        <f t="shared" si="7"/>
        <v>905</v>
      </c>
      <c r="W161" s="1">
        <v>905</v>
      </c>
      <c r="AH161" s="1">
        <f t="shared" si="9"/>
        <v>2152</v>
      </c>
      <c r="AJ161" s="1">
        <v>2152</v>
      </c>
    </row>
    <row r="162" spans="1:44" x14ac:dyDescent="0.2">
      <c r="A162" s="18" t="s">
        <v>7827</v>
      </c>
      <c r="B162" s="18">
        <v>22560479</v>
      </c>
      <c r="C162" s="18" t="s">
        <v>7421</v>
      </c>
      <c r="D162" s="18"/>
      <c r="E162" s="19">
        <v>14</v>
      </c>
      <c r="F162" s="18"/>
      <c r="G162" s="18" t="s">
        <v>7828</v>
      </c>
      <c r="H162" s="18" t="s">
        <v>7053</v>
      </c>
      <c r="I162" s="24">
        <v>41031</v>
      </c>
      <c r="J162" s="18" t="s">
        <v>11</v>
      </c>
      <c r="K162" s="18" t="s">
        <v>1169</v>
      </c>
      <c r="L162" s="18" t="s">
        <v>7829</v>
      </c>
      <c r="M162" s="18"/>
      <c r="N162" s="18" t="s">
        <v>10</v>
      </c>
      <c r="O162" s="18" t="s">
        <v>10</v>
      </c>
      <c r="P162" s="18" t="s">
        <v>7830</v>
      </c>
      <c r="Q162" s="18" t="s">
        <v>7831</v>
      </c>
      <c r="R162" s="18" t="s">
        <v>7832</v>
      </c>
      <c r="S162" s="1" t="s">
        <v>6244</v>
      </c>
      <c r="T162" s="1">
        <f t="shared" si="6"/>
        <v>1504</v>
      </c>
      <c r="U162" s="1">
        <f t="shared" si="7"/>
        <v>573</v>
      </c>
      <c r="V162" s="1">
        <v>573</v>
      </c>
      <c r="AH162" s="1">
        <f t="shared" si="9"/>
        <v>931</v>
      </c>
      <c r="AI162" s="1">
        <v>107</v>
      </c>
      <c r="AM162" s="1">
        <v>591</v>
      </c>
      <c r="AR162" s="1">
        <v>233</v>
      </c>
    </row>
    <row r="163" spans="1:44" x14ac:dyDescent="0.2">
      <c r="A163" s="18" t="s">
        <v>1991</v>
      </c>
      <c r="B163" s="18">
        <v>22560525</v>
      </c>
      <c r="C163" s="18" t="s">
        <v>7421</v>
      </c>
      <c r="D163" s="18"/>
      <c r="E163" s="19">
        <v>142</v>
      </c>
      <c r="F163" s="18"/>
      <c r="G163" s="18" t="s">
        <v>8014</v>
      </c>
      <c r="H163" s="18" t="s">
        <v>7219</v>
      </c>
      <c r="I163" s="24">
        <v>41771</v>
      </c>
      <c r="J163" s="18" t="s">
        <v>10</v>
      </c>
      <c r="K163" s="18" t="s">
        <v>2452</v>
      </c>
      <c r="L163" s="18" t="s">
        <v>8018</v>
      </c>
      <c r="M163" s="18"/>
      <c r="N163" s="18" t="s">
        <v>10</v>
      </c>
      <c r="O163" s="18" t="s">
        <v>10</v>
      </c>
      <c r="P163" s="18" t="s">
        <v>8019</v>
      </c>
      <c r="Q163" s="18" t="s">
        <v>8020</v>
      </c>
      <c r="R163" s="18" t="s">
        <v>8021</v>
      </c>
      <c r="S163" s="1" t="s">
        <v>6243</v>
      </c>
      <c r="T163" s="1">
        <f t="shared" si="6"/>
        <v>12486</v>
      </c>
      <c r="U163" s="1">
        <f t="shared" si="7"/>
        <v>7873</v>
      </c>
      <c r="V163" s="1">
        <v>7873</v>
      </c>
      <c r="AH163" s="1">
        <f t="shared" si="9"/>
        <v>4613</v>
      </c>
      <c r="AI163" s="1">
        <v>4613</v>
      </c>
    </row>
    <row r="164" spans="1:44" x14ac:dyDescent="0.2">
      <c r="A164" s="18" t="s">
        <v>1451</v>
      </c>
      <c r="B164" s="18">
        <v>22561518</v>
      </c>
      <c r="C164" s="18" t="s">
        <v>7421</v>
      </c>
      <c r="D164" s="18"/>
      <c r="E164" s="19">
        <v>59</v>
      </c>
      <c r="F164" s="18"/>
      <c r="G164" s="18" t="s">
        <v>1162</v>
      </c>
      <c r="H164" s="18" t="s">
        <v>137</v>
      </c>
      <c r="I164" s="24">
        <v>41035</v>
      </c>
      <c r="J164" s="18" t="s">
        <v>11</v>
      </c>
      <c r="K164" s="18" t="s">
        <v>28</v>
      </c>
      <c r="L164" s="18" t="s">
        <v>10873</v>
      </c>
      <c r="M164" s="18"/>
      <c r="N164" s="18" t="s">
        <v>10</v>
      </c>
      <c r="O164" s="18" t="s">
        <v>10</v>
      </c>
      <c r="P164" s="18" t="s">
        <v>10874</v>
      </c>
      <c r="Q164" s="18" t="s">
        <v>10875</v>
      </c>
      <c r="R164" s="18" t="s">
        <v>10876</v>
      </c>
      <c r="S164" s="1" t="s">
        <v>6243</v>
      </c>
      <c r="T164" s="1">
        <f t="shared" si="6"/>
        <v>5889</v>
      </c>
      <c r="U164" s="1">
        <f t="shared" si="7"/>
        <v>3228</v>
      </c>
      <c r="V164" s="1">
        <f>418+2810</f>
        <v>3228</v>
      </c>
      <c r="AH164" s="1">
        <f t="shared" si="9"/>
        <v>2661</v>
      </c>
      <c r="AI164" s="1">
        <f>1377+1284</f>
        <v>2661</v>
      </c>
    </row>
    <row r="165" spans="1:44" x14ac:dyDescent="0.2">
      <c r="A165" s="18" t="s">
        <v>1937</v>
      </c>
      <c r="B165" s="18">
        <v>22561531</v>
      </c>
      <c r="C165" s="18" t="s">
        <v>7421</v>
      </c>
      <c r="D165" s="18"/>
      <c r="E165" s="19">
        <v>55</v>
      </c>
      <c r="F165" s="18"/>
      <c r="G165" s="18" t="s">
        <v>7833</v>
      </c>
      <c r="H165" s="18" t="s">
        <v>7052</v>
      </c>
      <c r="I165" s="24">
        <v>41034</v>
      </c>
      <c r="J165" s="18" t="s">
        <v>11</v>
      </c>
      <c r="K165" s="18" t="s">
        <v>2483</v>
      </c>
      <c r="L165" s="18" t="s">
        <v>7834</v>
      </c>
      <c r="M165" s="18"/>
      <c r="N165" s="18" t="s">
        <v>10</v>
      </c>
      <c r="O165" s="18" t="s">
        <v>10</v>
      </c>
      <c r="P165" s="18" t="s">
        <v>7835</v>
      </c>
      <c r="Q165" s="18" t="s">
        <v>7836</v>
      </c>
      <c r="R165" s="18" t="s">
        <v>7837</v>
      </c>
      <c r="S165" s="1" t="s">
        <v>6243</v>
      </c>
      <c r="T165" s="1">
        <f t="shared" si="6"/>
        <v>5855</v>
      </c>
      <c r="U165" s="1">
        <f t="shared" si="7"/>
        <v>4279</v>
      </c>
      <c r="V165" s="1">
        <f>933+3346</f>
        <v>4279</v>
      </c>
      <c r="AH165" s="1">
        <f t="shared" si="9"/>
        <v>1576</v>
      </c>
      <c r="AI165" s="1">
        <f>231+1345</f>
        <v>1576</v>
      </c>
    </row>
    <row r="166" spans="1:44" x14ac:dyDescent="0.2">
      <c r="A166" s="18" t="s">
        <v>2321</v>
      </c>
      <c r="B166" s="18">
        <v>22566498</v>
      </c>
      <c r="C166" s="18" t="s">
        <v>7421</v>
      </c>
      <c r="D166" s="18"/>
      <c r="E166" s="19">
        <v>610</v>
      </c>
      <c r="F166" s="18"/>
      <c r="G166" s="18" t="s">
        <v>7717</v>
      </c>
      <c r="H166" s="18" t="s">
        <v>7718</v>
      </c>
      <c r="I166" s="24">
        <v>41036</v>
      </c>
      <c r="J166" s="18" t="s">
        <v>11</v>
      </c>
      <c r="K166" s="18" t="s">
        <v>293</v>
      </c>
      <c r="L166" s="18" t="s">
        <v>7719</v>
      </c>
      <c r="M166" s="18"/>
      <c r="N166" s="18" t="s">
        <v>10</v>
      </c>
      <c r="O166" s="18" t="s">
        <v>10</v>
      </c>
      <c r="P166" s="18" t="s">
        <v>7720</v>
      </c>
      <c r="Q166" s="18" t="s">
        <v>33</v>
      </c>
      <c r="R166" s="18" t="s">
        <v>7721</v>
      </c>
      <c r="S166" s="1" t="s">
        <v>6244</v>
      </c>
      <c r="T166" s="1">
        <f t="shared" si="6"/>
        <v>391</v>
      </c>
      <c r="U166" s="1">
        <f t="shared" si="7"/>
        <v>391</v>
      </c>
      <c r="V166" s="1">
        <v>198</v>
      </c>
      <c r="W166" s="1">
        <v>193</v>
      </c>
    </row>
    <row r="167" spans="1:44" x14ac:dyDescent="0.2">
      <c r="A167" s="18" t="s">
        <v>2505</v>
      </c>
      <c r="B167" s="18">
        <v>22566560</v>
      </c>
      <c r="C167" s="18" t="s">
        <v>7421</v>
      </c>
      <c r="D167" s="18"/>
      <c r="E167" s="19">
        <v>25</v>
      </c>
      <c r="F167" s="18"/>
      <c r="G167" s="18" t="s">
        <v>7734</v>
      </c>
      <c r="H167" s="18" t="s">
        <v>7735</v>
      </c>
      <c r="I167" s="24">
        <v>41036</v>
      </c>
      <c r="J167" s="18" t="s">
        <v>11</v>
      </c>
      <c r="K167" s="18" t="s">
        <v>361</v>
      </c>
      <c r="L167" s="18" t="s">
        <v>7736</v>
      </c>
      <c r="M167" s="18"/>
      <c r="N167" s="18" t="s">
        <v>10</v>
      </c>
      <c r="O167" s="18" t="s">
        <v>10</v>
      </c>
      <c r="P167" s="18" t="s">
        <v>7737</v>
      </c>
      <c r="Q167" s="18" t="s">
        <v>7738</v>
      </c>
      <c r="R167" s="18" t="s">
        <v>7739</v>
      </c>
      <c r="S167" s="1" t="s">
        <v>6244</v>
      </c>
      <c r="T167" s="1">
        <f t="shared" si="6"/>
        <v>344</v>
      </c>
      <c r="U167" s="1">
        <f t="shared" si="7"/>
        <v>139</v>
      </c>
      <c r="V167" s="1">
        <v>77</v>
      </c>
      <c r="W167" s="1">
        <v>32</v>
      </c>
      <c r="AD167" s="1">
        <v>30</v>
      </c>
      <c r="AH167" s="1">
        <f>SUM(AI167:AT167)</f>
        <v>205</v>
      </c>
      <c r="AI167" s="1">
        <v>183</v>
      </c>
      <c r="AJ167" s="1">
        <v>22</v>
      </c>
    </row>
    <row r="168" spans="1:44" x14ac:dyDescent="0.2">
      <c r="A168" s="18" t="s">
        <v>9869</v>
      </c>
      <c r="B168" s="18">
        <v>22566624</v>
      </c>
      <c r="C168" s="18" t="s">
        <v>7421</v>
      </c>
      <c r="D168" s="18"/>
      <c r="E168" s="19">
        <v>10</v>
      </c>
      <c r="F168" s="18"/>
      <c r="G168" s="18" t="s">
        <v>9870</v>
      </c>
      <c r="H168" s="18" t="s">
        <v>9871</v>
      </c>
      <c r="I168" s="24">
        <v>41036</v>
      </c>
      <c r="J168" s="18" t="s">
        <v>11</v>
      </c>
      <c r="K168" s="18" t="s">
        <v>210</v>
      </c>
      <c r="L168" s="18" t="s">
        <v>9872</v>
      </c>
      <c r="M168" s="18"/>
      <c r="N168" s="18" t="s">
        <v>10</v>
      </c>
      <c r="O168" s="18" t="s">
        <v>10</v>
      </c>
      <c r="P168" s="18" t="s">
        <v>9873</v>
      </c>
      <c r="Q168" s="18" t="s">
        <v>9874</v>
      </c>
      <c r="R168" s="18" t="s">
        <v>9875</v>
      </c>
      <c r="S168" s="1" t="s">
        <v>6243</v>
      </c>
      <c r="T168" s="1">
        <f t="shared" si="6"/>
        <v>10965</v>
      </c>
      <c r="U168" s="1">
        <f t="shared" si="7"/>
        <v>6523</v>
      </c>
      <c r="V168" s="1">
        <v>6523</v>
      </c>
      <c r="AH168" s="1">
        <f>SUM(AI168:AT168)</f>
        <v>4442</v>
      </c>
      <c r="AI168" s="1">
        <v>4442</v>
      </c>
    </row>
    <row r="169" spans="1:44" x14ac:dyDescent="0.2">
      <c r="A169" s="18" t="s">
        <v>225</v>
      </c>
      <c r="B169" s="18">
        <v>22566634</v>
      </c>
      <c r="C169" s="18" t="s">
        <v>7421</v>
      </c>
      <c r="D169" s="18"/>
      <c r="E169" s="19">
        <v>88</v>
      </c>
      <c r="F169" s="18"/>
      <c r="G169" s="18" t="s">
        <v>8715</v>
      </c>
      <c r="H169" s="18" t="s">
        <v>8716</v>
      </c>
      <c r="I169" s="24">
        <v>41036</v>
      </c>
      <c r="J169" s="18" t="s">
        <v>11</v>
      </c>
      <c r="K169" s="18" t="s">
        <v>210</v>
      </c>
      <c r="L169" s="18" t="s">
        <v>8717</v>
      </c>
      <c r="M169" s="18"/>
      <c r="N169" s="18" t="s">
        <v>10</v>
      </c>
      <c r="O169" s="18" t="s">
        <v>10</v>
      </c>
      <c r="P169" s="18" t="s">
        <v>8718</v>
      </c>
      <c r="Q169" s="18" t="s">
        <v>33</v>
      </c>
      <c r="R169" s="18" t="s">
        <v>8719</v>
      </c>
      <c r="S169" s="1" t="s">
        <v>6243</v>
      </c>
      <c r="T169" s="1">
        <f t="shared" si="6"/>
        <v>9617</v>
      </c>
      <c r="U169" s="1">
        <f t="shared" si="7"/>
        <v>9617</v>
      </c>
      <c r="V169" s="1">
        <v>9617</v>
      </c>
    </row>
    <row r="170" spans="1:44" x14ac:dyDescent="0.2">
      <c r="A170" s="18" t="s">
        <v>10327</v>
      </c>
      <c r="B170" s="18">
        <v>22569225</v>
      </c>
      <c r="C170" s="18" t="s">
        <v>7421</v>
      </c>
      <c r="D170" s="18"/>
      <c r="E170" s="19">
        <v>56</v>
      </c>
      <c r="F170" s="18"/>
      <c r="G170" s="18" t="s">
        <v>10328</v>
      </c>
      <c r="H170" s="18" t="s">
        <v>10329</v>
      </c>
      <c r="I170" s="24">
        <v>41035</v>
      </c>
      <c r="J170" s="18" t="s">
        <v>11</v>
      </c>
      <c r="K170" s="18" t="s">
        <v>294</v>
      </c>
      <c r="L170" s="18" t="s">
        <v>10330</v>
      </c>
      <c r="M170" s="18"/>
      <c r="N170" s="18" t="s">
        <v>10</v>
      </c>
      <c r="O170" s="18" t="s">
        <v>10</v>
      </c>
      <c r="P170" s="18" t="s">
        <v>10331</v>
      </c>
      <c r="Q170" s="18" t="s">
        <v>33</v>
      </c>
      <c r="R170" s="18" t="s">
        <v>10332</v>
      </c>
      <c r="S170" s="1" t="s">
        <v>6243</v>
      </c>
      <c r="T170" s="1">
        <f t="shared" si="6"/>
        <v>196</v>
      </c>
      <c r="U170" s="1">
        <f t="shared" si="7"/>
        <v>196</v>
      </c>
      <c r="V170" s="1">
        <v>196</v>
      </c>
    </row>
    <row r="171" spans="1:44" x14ac:dyDescent="0.2">
      <c r="A171" s="18" t="s">
        <v>9073</v>
      </c>
      <c r="B171" s="18">
        <v>22570615</v>
      </c>
      <c r="C171" s="18" t="s">
        <v>7421</v>
      </c>
      <c r="D171" s="18"/>
      <c r="E171" s="19">
        <v>424</v>
      </c>
      <c r="F171" s="18"/>
      <c r="G171" s="18" t="s">
        <v>9074</v>
      </c>
      <c r="H171" s="18" t="s">
        <v>9068</v>
      </c>
      <c r="I171" s="24">
        <v>41025</v>
      </c>
      <c r="J171" s="18" t="s">
        <v>10</v>
      </c>
      <c r="K171" s="18" t="s">
        <v>65</v>
      </c>
      <c r="L171" s="18" t="s">
        <v>9075</v>
      </c>
      <c r="M171" s="18"/>
      <c r="N171" s="18" t="s">
        <v>10</v>
      </c>
      <c r="O171" s="18" t="s">
        <v>10</v>
      </c>
      <c r="P171" s="18" t="s">
        <v>9076</v>
      </c>
      <c r="Q171" s="18" t="s">
        <v>33</v>
      </c>
      <c r="R171" s="18" t="s">
        <v>9077</v>
      </c>
      <c r="S171" s="1" t="s">
        <v>6440</v>
      </c>
      <c r="T171" s="1">
        <f t="shared" si="6"/>
        <v>125</v>
      </c>
      <c r="U171" s="1">
        <f t="shared" si="7"/>
        <v>125</v>
      </c>
      <c r="W171" s="1">
        <v>125</v>
      </c>
    </row>
    <row r="172" spans="1:44" x14ac:dyDescent="0.2">
      <c r="A172" s="18" t="s">
        <v>8999</v>
      </c>
      <c r="B172" s="18">
        <v>22570617</v>
      </c>
      <c r="C172" s="18" t="s">
        <v>7421</v>
      </c>
      <c r="D172" s="18"/>
      <c r="E172" s="19">
        <v>462</v>
      </c>
      <c r="F172" s="18"/>
      <c r="G172" s="18" t="s">
        <v>8994</v>
      </c>
      <c r="H172" s="18" t="s">
        <v>1414</v>
      </c>
      <c r="I172" s="24">
        <v>41025</v>
      </c>
      <c r="J172" s="18" t="s">
        <v>11</v>
      </c>
      <c r="K172" s="18" t="s">
        <v>65</v>
      </c>
      <c r="L172" s="18" t="s">
        <v>9000</v>
      </c>
      <c r="M172" s="18"/>
      <c r="N172" s="18" t="s">
        <v>10</v>
      </c>
      <c r="O172" s="18" t="s">
        <v>10</v>
      </c>
      <c r="P172" s="18" t="s">
        <v>9001</v>
      </c>
      <c r="Q172" s="18" t="s">
        <v>33</v>
      </c>
      <c r="R172" s="18" t="s">
        <v>9002</v>
      </c>
      <c r="S172" s="1" t="s">
        <v>6243</v>
      </c>
      <c r="T172" s="1">
        <f t="shared" si="6"/>
        <v>6633</v>
      </c>
      <c r="U172" s="1">
        <f t="shared" si="7"/>
        <v>6633</v>
      </c>
      <c r="V172" s="1">
        <f>3146+3487</f>
        <v>6633</v>
      </c>
    </row>
    <row r="173" spans="1:44" x14ac:dyDescent="0.2">
      <c r="A173" s="18" t="s">
        <v>8983</v>
      </c>
      <c r="B173" s="18">
        <v>22570627</v>
      </c>
      <c r="C173" s="18" t="s">
        <v>7421</v>
      </c>
      <c r="D173" s="18"/>
      <c r="E173" s="19">
        <v>41</v>
      </c>
      <c r="F173" s="18"/>
      <c r="G173" s="18" t="s">
        <v>8984</v>
      </c>
      <c r="H173" s="18" t="s">
        <v>7263</v>
      </c>
      <c r="I173" s="24">
        <v>41032</v>
      </c>
      <c r="J173" s="18" t="s">
        <v>11</v>
      </c>
      <c r="K173" s="18" t="s">
        <v>65</v>
      </c>
      <c r="L173" s="18" t="s">
        <v>8985</v>
      </c>
      <c r="M173" s="18"/>
      <c r="N173" s="18" t="s">
        <v>10</v>
      </c>
      <c r="O173" s="18" t="s">
        <v>10</v>
      </c>
      <c r="P173" s="18" t="s">
        <v>8986</v>
      </c>
      <c r="Q173" s="18" t="s">
        <v>8684</v>
      </c>
      <c r="R173" s="18" t="s">
        <v>868</v>
      </c>
      <c r="S173" s="1" t="s">
        <v>6243</v>
      </c>
      <c r="T173" s="1">
        <f t="shared" si="6"/>
        <v>19454</v>
      </c>
      <c r="U173" s="1">
        <f t="shared" si="7"/>
        <v>11972</v>
      </c>
      <c r="V173" s="1">
        <v>11972</v>
      </c>
      <c r="AH173" s="1">
        <f>SUM(AI173:AT173)</f>
        <v>7482</v>
      </c>
      <c r="AI173" s="1">
        <v>7482</v>
      </c>
    </row>
    <row r="174" spans="1:44" x14ac:dyDescent="0.2">
      <c r="A174" s="18" t="s">
        <v>9642</v>
      </c>
      <c r="B174" s="18">
        <v>22570697</v>
      </c>
      <c r="C174" s="18" t="s">
        <v>7421</v>
      </c>
      <c r="D174" s="18"/>
      <c r="E174" s="19">
        <v>359</v>
      </c>
      <c r="F174" s="18"/>
      <c r="G174" s="18" t="s">
        <v>175</v>
      </c>
      <c r="H174" s="18" t="s">
        <v>7402</v>
      </c>
      <c r="I174" s="24">
        <v>41032</v>
      </c>
      <c r="J174" s="18" t="s">
        <v>11</v>
      </c>
      <c r="K174" s="18" t="s">
        <v>181</v>
      </c>
      <c r="L174" s="18" t="s">
        <v>9643</v>
      </c>
      <c r="M174" s="18"/>
      <c r="N174" s="18" t="s">
        <v>10</v>
      </c>
      <c r="O174" s="18" t="s">
        <v>10</v>
      </c>
      <c r="P174" s="18" t="s">
        <v>9644</v>
      </c>
      <c r="Q174" s="18" t="s">
        <v>9645</v>
      </c>
      <c r="R174" s="18" t="s">
        <v>9646</v>
      </c>
      <c r="S174" s="1" t="s">
        <v>6243</v>
      </c>
      <c r="T174" s="1">
        <f t="shared" si="6"/>
        <v>12410</v>
      </c>
      <c r="U174" s="1">
        <f t="shared" si="7"/>
        <v>6685</v>
      </c>
      <c r="V174" s="1">
        <f>2127+4558</f>
        <v>6685</v>
      </c>
      <c r="AH174" s="1">
        <f>SUM(AI174:AT174)</f>
        <v>5725</v>
      </c>
      <c r="AI174" s="1">
        <f>2785+2940</f>
        <v>5725</v>
      </c>
    </row>
    <row r="175" spans="1:44" x14ac:dyDescent="0.2">
      <c r="A175" s="18" t="s">
        <v>8840</v>
      </c>
      <c r="B175" s="18">
        <v>22581228</v>
      </c>
      <c r="C175" s="18" t="s">
        <v>7421</v>
      </c>
      <c r="D175" s="18"/>
      <c r="E175" s="19">
        <v>245</v>
      </c>
      <c r="F175" s="18"/>
      <c r="G175" s="18" t="s">
        <v>8841</v>
      </c>
      <c r="H175" s="18" t="s">
        <v>7381</v>
      </c>
      <c r="I175" s="24">
        <v>41042</v>
      </c>
      <c r="J175" s="18" t="s">
        <v>11</v>
      </c>
      <c r="K175" s="18" t="s">
        <v>28</v>
      </c>
      <c r="L175" s="18" t="s">
        <v>8842</v>
      </c>
      <c r="M175" s="18"/>
      <c r="N175" s="18" t="s">
        <v>10</v>
      </c>
      <c r="O175" s="18" t="s">
        <v>10</v>
      </c>
      <c r="P175" s="18" t="s">
        <v>8843</v>
      </c>
      <c r="Q175" s="18" t="s">
        <v>8844</v>
      </c>
      <c r="R175" s="18" t="s">
        <v>1420</v>
      </c>
      <c r="S175" s="1" t="s">
        <v>6243</v>
      </c>
      <c r="T175" s="1">
        <f t="shared" si="6"/>
        <v>96496</v>
      </c>
      <c r="U175" s="1">
        <f t="shared" si="7"/>
        <v>58074</v>
      </c>
      <c r="V175" s="1">
        <v>58074</v>
      </c>
      <c r="AH175" s="1">
        <f>SUM(AI175:AT175)</f>
        <v>38422</v>
      </c>
      <c r="AI175" s="1">
        <v>38422</v>
      </c>
    </row>
    <row r="176" spans="1:44" x14ac:dyDescent="0.2">
      <c r="A176" s="18" t="s">
        <v>7711</v>
      </c>
      <c r="B176" s="18">
        <v>22584459</v>
      </c>
      <c r="C176" s="18" t="s">
        <v>7421</v>
      </c>
      <c r="D176" s="18"/>
      <c r="E176" s="19">
        <v>37</v>
      </c>
      <c r="F176" s="18"/>
      <c r="G176" s="18" t="s">
        <v>7712</v>
      </c>
      <c r="H176" s="18" t="s">
        <v>7703</v>
      </c>
      <c r="I176" s="24">
        <v>41044</v>
      </c>
      <c r="J176" s="18" t="s">
        <v>11</v>
      </c>
      <c r="K176" s="18" t="s">
        <v>113</v>
      </c>
      <c r="L176" s="18" t="s">
        <v>7713</v>
      </c>
      <c r="M176" s="18"/>
      <c r="N176" s="18" t="s">
        <v>10</v>
      </c>
      <c r="O176" s="18" t="s">
        <v>10</v>
      </c>
      <c r="P176" s="18" t="s">
        <v>7714</v>
      </c>
      <c r="Q176" s="18" t="s">
        <v>7715</v>
      </c>
      <c r="R176" s="18" t="s">
        <v>7716</v>
      </c>
      <c r="S176" s="1" t="s">
        <v>6242</v>
      </c>
      <c r="T176" s="1">
        <f t="shared" si="6"/>
        <v>228</v>
      </c>
      <c r="U176" s="1">
        <f t="shared" si="7"/>
        <v>92</v>
      </c>
      <c r="X176" s="1">
        <v>92</v>
      </c>
      <c r="AH176" s="1">
        <f>SUM(AI176:AT176)</f>
        <v>136</v>
      </c>
      <c r="AK176" s="1">
        <v>136</v>
      </c>
    </row>
    <row r="177" spans="1:44" x14ac:dyDescent="0.2">
      <c r="A177" s="18" t="s">
        <v>244</v>
      </c>
      <c r="B177" s="18">
        <v>22589738</v>
      </c>
      <c r="C177" s="18" t="s">
        <v>7421</v>
      </c>
      <c r="D177" s="18"/>
      <c r="E177" s="19">
        <v>257</v>
      </c>
      <c r="F177" s="18"/>
      <c r="G177" s="18" t="s">
        <v>7426</v>
      </c>
      <c r="H177" s="18" t="s">
        <v>7205</v>
      </c>
      <c r="I177" s="24">
        <v>41039</v>
      </c>
      <c r="J177" s="18" t="s">
        <v>11</v>
      </c>
      <c r="K177" s="18" t="s">
        <v>65</v>
      </c>
      <c r="L177" s="18" t="s">
        <v>7427</v>
      </c>
      <c r="M177" s="18"/>
      <c r="N177" s="18" t="s">
        <v>11</v>
      </c>
      <c r="O177" s="18" t="s">
        <v>10</v>
      </c>
      <c r="P177" s="18" t="s">
        <v>7428</v>
      </c>
      <c r="Q177" s="18" t="s">
        <v>33</v>
      </c>
      <c r="R177" s="18" t="s">
        <v>7429</v>
      </c>
      <c r="S177" s="1" t="s">
        <v>6243</v>
      </c>
      <c r="T177" s="1">
        <f t="shared" si="6"/>
        <v>10557</v>
      </c>
      <c r="U177" s="1">
        <f t="shared" si="7"/>
        <v>10557</v>
      </c>
      <c r="V177" s="1">
        <f>5560+4997</f>
        <v>10557</v>
      </c>
    </row>
    <row r="178" spans="1:44" x14ac:dyDescent="0.2">
      <c r="A178" s="18" t="s">
        <v>8963</v>
      </c>
      <c r="B178" s="18">
        <v>22589741</v>
      </c>
      <c r="C178" s="18" t="s">
        <v>7421</v>
      </c>
      <c r="D178" s="18"/>
      <c r="E178" s="19">
        <v>15</v>
      </c>
      <c r="F178" s="18">
        <v>1</v>
      </c>
      <c r="G178" s="18" t="s">
        <v>8964</v>
      </c>
      <c r="H178" s="18" t="s">
        <v>8965</v>
      </c>
      <c r="I178" s="24">
        <v>41039</v>
      </c>
      <c r="J178" s="18" t="s">
        <v>10</v>
      </c>
      <c r="K178" s="18" t="s">
        <v>65</v>
      </c>
      <c r="L178" s="18" t="s">
        <v>8966</v>
      </c>
      <c r="M178" s="18"/>
      <c r="N178" s="18" t="s">
        <v>11</v>
      </c>
      <c r="O178" s="18" t="s">
        <v>11</v>
      </c>
      <c r="P178" s="18" t="s">
        <v>8967</v>
      </c>
      <c r="Q178" s="18" t="s">
        <v>8968</v>
      </c>
      <c r="R178" s="18" t="s">
        <v>10941</v>
      </c>
      <c r="S178" s="1" t="s">
        <v>6243</v>
      </c>
      <c r="T178" s="1">
        <f t="shared" si="6"/>
        <v>201</v>
      </c>
      <c r="U178" s="1">
        <f t="shared" si="7"/>
        <v>131</v>
      </c>
      <c r="V178" s="1">
        <v>131</v>
      </c>
      <c r="AH178" s="1">
        <f>SUM(AI178:AT178)</f>
        <v>70</v>
      </c>
      <c r="AR178" s="1">
        <v>70</v>
      </c>
    </row>
    <row r="179" spans="1:44" x14ac:dyDescent="0.2">
      <c r="A179" s="18" t="s">
        <v>244</v>
      </c>
      <c r="B179" s="18">
        <v>22589742</v>
      </c>
      <c r="C179" s="18" t="s">
        <v>7421</v>
      </c>
      <c r="D179" s="18"/>
      <c r="E179" s="19">
        <v>469</v>
      </c>
      <c r="F179" s="18"/>
      <c r="G179" s="18" t="s">
        <v>9982</v>
      </c>
      <c r="H179" s="18" t="s">
        <v>9983</v>
      </c>
      <c r="I179" s="24">
        <v>41039</v>
      </c>
      <c r="J179" s="18" t="s">
        <v>11</v>
      </c>
      <c r="K179" s="18" t="s">
        <v>65</v>
      </c>
      <c r="L179" s="18" t="s">
        <v>9984</v>
      </c>
      <c r="M179" s="18"/>
      <c r="N179" s="18" t="s">
        <v>10</v>
      </c>
      <c r="O179" s="18" t="s">
        <v>10</v>
      </c>
      <c r="P179" s="18" t="s">
        <v>9985</v>
      </c>
      <c r="Q179" s="18" t="s">
        <v>9986</v>
      </c>
      <c r="R179" s="18" t="s">
        <v>739</v>
      </c>
      <c r="S179" s="1" t="s">
        <v>6244</v>
      </c>
      <c r="T179" s="1">
        <f t="shared" si="6"/>
        <v>9089</v>
      </c>
      <c r="U179" s="1">
        <f t="shared" si="7"/>
        <v>5487</v>
      </c>
      <c r="V179" s="1">
        <v>5487</v>
      </c>
      <c r="AH179" s="1">
        <f>SUM(AI179:AT179)</f>
        <v>3602</v>
      </c>
      <c r="AJ179" s="1">
        <v>1442</v>
      </c>
      <c r="AK179" s="1">
        <v>761</v>
      </c>
      <c r="AM179" s="1">
        <v>1399</v>
      </c>
    </row>
    <row r="180" spans="1:44" x14ac:dyDescent="0.2">
      <c r="A180" s="18" t="s">
        <v>10204</v>
      </c>
      <c r="B180" s="18">
        <v>22595970</v>
      </c>
      <c r="C180" s="18" t="s">
        <v>7421</v>
      </c>
      <c r="D180" s="18"/>
      <c r="E180" s="19">
        <v>2083</v>
      </c>
      <c r="F180" s="18">
        <v>1</v>
      </c>
      <c r="G180" s="18" t="s">
        <v>10198</v>
      </c>
      <c r="H180" s="18" t="s">
        <v>10199</v>
      </c>
      <c r="I180" s="24">
        <v>41045</v>
      </c>
      <c r="J180" s="18" t="s">
        <v>10</v>
      </c>
      <c r="K180" s="18" t="s">
        <v>103</v>
      </c>
      <c r="L180" s="18" t="s">
        <v>10205</v>
      </c>
      <c r="M180" s="18"/>
      <c r="N180" s="18" t="s">
        <v>10</v>
      </c>
      <c r="O180" s="18" t="s">
        <v>10</v>
      </c>
      <c r="P180" s="18" t="s">
        <v>10206</v>
      </c>
      <c r="Q180" s="18" t="s">
        <v>33</v>
      </c>
      <c r="R180" s="18" t="s">
        <v>10207</v>
      </c>
      <c r="S180" s="1" t="s">
        <v>6243</v>
      </c>
      <c r="T180" s="1">
        <f t="shared" si="6"/>
        <v>96</v>
      </c>
      <c r="U180" s="1">
        <f t="shared" si="7"/>
        <v>96</v>
      </c>
      <c r="V180" s="1">
        <v>96</v>
      </c>
    </row>
    <row r="181" spans="1:44" x14ac:dyDescent="0.2">
      <c r="A181" s="18" t="s">
        <v>9008</v>
      </c>
      <c r="B181" s="18">
        <v>22605921</v>
      </c>
      <c r="C181" s="18" t="s">
        <v>7421</v>
      </c>
      <c r="D181" s="18"/>
      <c r="E181" s="19">
        <v>89</v>
      </c>
      <c r="F181" s="18"/>
      <c r="G181" s="18" t="s">
        <v>6755</v>
      </c>
      <c r="H181" s="18" t="s">
        <v>1414</v>
      </c>
      <c r="I181" s="24">
        <v>41027</v>
      </c>
      <c r="J181" s="18" t="s">
        <v>11</v>
      </c>
      <c r="K181" s="18" t="s">
        <v>1633</v>
      </c>
      <c r="L181" s="18" t="s">
        <v>9009</v>
      </c>
      <c r="M181" s="18"/>
      <c r="N181" s="18" t="s">
        <v>10</v>
      </c>
      <c r="O181" s="18" t="s">
        <v>10</v>
      </c>
      <c r="P181" s="18" t="s">
        <v>9010</v>
      </c>
      <c r="Q181" s="18" t="s">
        <v>9011</v>
      </c>
      <c r="R181" s="18" t="s">
        <v>9012</v>
      </c>
      <c r="S181" s="1" t="s">
        <v>6243</v>
      </c>
      <c r="T181" s="1">
        <f t="shared" si="6"/>
        <v>6111</v>
      </c>
      <c r="U181" s="1">
        <f t="shared" si="7"/>
        <v>5767</v>
      </c>
      <c r="V181" s="1">
        <f>387+5380</f>
        <v>5767</v>
      </c>
      <c r="AH181" s="1">
        <f>SUM(AI181:AT181)</f>
        <v>344</v>
      </c>
      <c r="AI181" s="1">
        <f>294+50</f>
        <v>344</v>
      </c>
    </row>
    <row r="182" spans="1:44" x14ac:dyDescent="0.2">
      <c r="A182" s="18" t="s">
        <v>2584</v>
      </c>
      <c r="B182" s="18">
        <v>22607992</v>
      </c>
      <c r="C182" s="18" t="s">
        <v>7421</v>
      </c>
      <c r="D182" s="18"/>
      <c r="E182" s="19">
        <v>24</v>
      </c>
      <c r="F182" s="18"/>
      <c r="G182" s="18" t="s">
        <v>799</v>
      </c>
      <c r="H182" s="18" t="s">
        <v>7052</v>
      </c>
      <c r="I182" s="24">
        <v>41046</v>
      </c>
      <c r="J182" s="18" t="s">
        <v>10</v>
      </c>
      <c r="K182" s="18" t="s">
        <v>1169</v>
      </c>
      <c r="L182" s="18" t="s">
        <v>7792</v>
      </c>
      <c r="M182" s="18"/>
      <c r="N182" s="18" t="s">
        <v>10</v>
      </c>
      <c r="O182" s="18" t="s">
        <v>10</v>
      </c>
      <c r="P182" s="18" t="s">
        <v>7793</v>
      </c>
      <c r="Q182" s="18" t="s">
        <v>7794</v>
      </c>
      <c r="R182" s="18" t="s">
        <v>7795</v>
      </c>
      <c r="S182" s="1" t="s">
        <v>6244</v>
      </c>
      <c r="T182" s="1">
        <f t="shared" si="6"/>
        <v>1267</v>
      </c>
      <c r="U182" s="1">
        <f t="shared" si="7"/>
        <v>799</v>
      </c>
      <c r="W182" s="1">
        <f>355+444</f>
        <v>799</v>
      </c>
      <c r="AH182" s="1">
        <f>SUM(AI182:AT182)</f>
        <v>468</v>
      </c>
      <c r="AM182" s="1">
        <f>277+191</f>
        <v>468</v>
      </c>
    </row>
    <row r="183" spans="1:44" x14ac:dyDescent="0.2">
      <c r="A183" s="18" t="s">
        <v>9214</v>
      </c>
      <c r="B183" s="18">
        <v>22610502</v>
      </c>
      <c r="C183" s="18" t="s">
        <v>7421</v>
      </c>
      <c r="D183" s="18"/>
      <c r="E183" s="19">
        <v>106</v>
      </c>
      <c r="F183" s="18"/>
      <c r="G183" s="18" t="s">
        <v>10519</v>
      </c>
      <c r="H183" s="18" t="s">
        <v>7698</v>
      </c>
      <c r="I183" s="24">
        <v>41048</v>
      </c>
      <c r="J183" s="18" t="s">
        <v>11</v>
      </c>
      <c r="K183" s="18" t="s">
        <v>595</v>
      </c>
      <c r="L183" s="18" t="s">
        <v>10520</v>
      </c>
      <c r="M183" s="18"/>
      <c r="N183" s="18" t="s">
        <v>10</v>
      </c>
      <c r="O183" s="18" t="s">
        <v>10</v>
      </c>
      <c r="P183" s="18" t="s">
        <v>10521</v>
      </c>
      <c r="Q183" s="18" t="s">
        <v>33</v>
      </c>
      <c r="R183" s="18" t="s">
        <v>10919</v>
      </c>
      <c r="S183" s="1" t="s">
        <v>6244</v>
      </c>
      <c r="T183" s="1">
        <f t="shared" si="6"/>
        <v>711</v>
      </c>
      <c r="U183" s="1">
        <f t="shared" si="7"/>
        <v>711</v>
      </c>
      <c r="V183" s="1">
        <v>512</v>
      </c>
      <c r="W183" s="1">
        <v>199</v>
      </c>
    </row>
    <row r="184" spans="1:44" x14ac:dyDescent="0.2">
      <c r="A184" s="18" t="s">
        <v>8027</v>
      </c>
      <c r="B184" s="18">
        <v>22611595</v>
      </c>
      <c r="C184" s="18" t="s">
        <v>7421</v>
      </c>
      <c r="D184" s="18"/>
      <c r="E184" s="19">
        <v>9</v>
      </c>
      <c r="F184" s="18"/>
      <c r="G184" s="18" t="s">
        <v>8028</v>
      </c>
      <c r="H184" s="18" t="s">
        <v>8029</v>
      </c>
      <c r="I184" s="24">
        <v>41034</v>
      </c>
      <c r="J184" s="18" t="s">
        <v>10</v>
      </c>
      <c r="K184" s="18" t="s">
        <v>8030</v>
      </c>
      <c r="L184" s="18" t="s">
        <v>8031</v>
      </c>
      <c r="M184" s="18"/>
      <c r="N184" s="18" t="s">
        <v>11</v>
      </c>
      <c r="O184" s="18" t="s">
        <v>11</v>
      </c>
      <c r="P184" s="18" t="s">
        <v>8032</v>
      </c>
      <c r="Q184" s="18" t="s">
        <v>33</v>
      </c>
      <c r="R184" s="18" t="s">
        <v>8033</v>
      </c>
      <c r="S184" s="1" t="s">
        <v>6243</v>
      </c>
      <c r="T184" s="1">
        <f t="shared" si="6"/>
        <v>2203</v>
      </c>
      <c r="U184" s="1">
        <f t="shared" si="7"/>
        <v>2203</v>
      </c>
      <c r="V184" s="1">
        <v>2203</v>
      </c>
    </row>
    <row r="185" spans="1:44" x14ac:dyDescent="0.2">
      <c r="A185" s="18" t="s">
        <v>1431</v>
      </c>
      <c r="B185" s="18">
        <v>22613542</v>
      </c>
      <c r="C185" s="18" t="s">
        <v>7421</v>
      </c>
      <c r="D185" s="18"/>
      <c r="E185" s="19">
        <v>12</v>
      </c>
      <c r="F185" s="18"/>
      <c r="G185" s="18" t="s">
        <v>2110</v>
      </c>
      <c r="H185" s="18" t="s">
        <v>7207</v>
      </c>
      <c r="I185" s="24">
        <v>41710</v>
      </c>
      <c r="J185" s="18" t="s">
        <v>11</v>
      </c>
      <c r="K185" s="18" t="s">
        <v>7565</v>
      </c>
      <c r="L185" s="18" t="s">
        <v>7566</v>
      </c>
      <c r="M185" s="18"/>
      <c r="N185" s="18" t="s">
        <v>10</v>
      </c>
      <c r="O185" s="18" t="s">
        <v>10</v>
      </c>
      <c r="P185" s="18" t="s">
        <v>7567</v>
      </c>
      <c r="Q185" s="18" t="s">
        <v>7568</v>
      </c>
      <c r="R185" s="18" t="s">
        <v>7569</v>
      </c>
      <c r="S185" s="1" t="s">
        <v>6244</v>
      </c>
      <c r="T185" s="1">
        <f t="shared" si="6"/>
        <v>6592</v>
      </c>
      <c r="U185" s="1">
        <f t="shared" si="7"/>
        <v>904</v>
      </c>
      <c r="V185" s="1">
        <v>904</v>
      </c>
      <c r="AH185" s="1">
        <f>SUM(AI185:AT185)</f>
        <v>5688</v>
      </c>
      <c r="AI185" s="1">
        <f>1972+761</f>
        <v>2733</v>
      </c>
      <c r="AK185" s="1">
        <v>2955</v>
      </c>
    </row>
    <row r="186" spans="1:44" x14ac:dyDescent="0.2">
      <c r="A186" s="18" t="s">
        <v>9188</v>
      </c>
      <c r="B186" s="18">
        <v>22615923</v>
      </c>
      <c r="C186" s="18" t="s">
        <v>7421</v>
      </c>
      <c r="D186" s="18">
        <v>1</v>
      </c>
      <c r="E186" s="19">
        <v>0</v>
      </c>
      <c r="F186" s="18"/>
      <c r="G186" s="18" t="s">
        <v>293</v>
      </c>
      <c r="H186" s="18" t="s">
        <v>7222</v>
      </c>
      <c r="I186" s="24">
        <v>41045</v>
      </c>
      <c r="J186" s="18" t="s">
        <v>10</v>
      </c>
      <c r="K186" s="18" t="s">
        <v>181</v>
      </c>
      <c r="L186" s="18" t="s">
        <v>9189</v>
      </c>
      <c r="M186" s="18"/>
      <c r="N186" s="18" t="s">
        <v>10</v>
      </c>
      <c r="O186" s="18" t="s">
        <v>10</v>
      </c>
      <c r="P186" s="18" t="s">
        <v>9190</v>
      </c>
      <c r="Q186" s="18" t="s">
        <v>33</v>
      </c>
      <c r="R186" s="18" t="s">
        <v>9191</v>
      </c>
      <c r="S186" s="1" t="s">
        <v>6440</v>
      </c>
      <c r="T186" s="1">
        <f t="shared" si="6"/>
        <v>1614</v>
      </c>
      <c r="U186" s="1">
        <f t="shared" si="7"/>
        <v>1614</v>
      </c>
      <c r="W186" s="1">
        <f>790+824</f>
        <v>1614</v>
      </c>
    </row>
    <row r="187" spans="1:44" x14ac:dyDescent="0.2">
      <c r="A187" s="18" t="s">
        <v>9172</v>
      </c>
      <c r="B187" s="18">
        <v>22628157</v>
      </c>
      <c r="C187" s="18" t="s">
        <v>7421</v>
      </c>
      <c r="D187" s="18"/>
      <c r="E187" s="19">
        <v>11</v>
      </c>
      <c r="F187" s="18"/>
      <c r="G187" s="18" t="s">
        <v>9173</v>
      </c>
      <c r="H187" s="18" t="s">
        <v>9174</v>
      </c>
      <c r="I187" s="24">
        <v>41053</v>
      </c>
      <c r="J187" s="18" t="s">
        <v>11</v>
      </c>
      <c r="K187" s="18" t="s">
        <v>43</v>
      </c>
      <c r="L187" s="18" t="s">
        <v>9175</v>
      </c>
      <c r="M187" s="18"/>
      <c r="N187" s="18" t="s">
        <v>11</v>
      </c>
      <c r="O187" s="18" t="s">
        <v>11</v>
      </c>
      <c r="P187" s="18" t="s">
        <v>9176</v>
      </c>
      <c r="Q187" s="18" t="s">
        <v>33</v>
      </c>
      <c r="R187" s="18" t="s">
        <v>667</v>
      </c>
      <c r="S187" s="1" t="s">
        <v>6243</v>
      </c>
      <c r="T187" s="1">
        <f t="shared" si="6"/>
        <v>1287</v>
      </c>
      <c r="U187" s="1">
        <f t="shared" si="7"/>
        <v>1287</v>
      </c>
      <c r="V187" s="1">
        <v>1287</v>
      </c>
    </row>
    <row r="188" spans="1:44" x14ac:dyDescent="0.2">
      <c r="A188" s="18" t="s">
        <v>2090</v>
      </c>
      <c r="B188" s="18">
        <v>22628180</v>
      </c>
      <c r="C188" s="18" t="s">
        <v>7421</v>
      </c>
      <c r="D188" s="18"/>
      <c r="E188" s="19">
        <v>513</v>
      </c>
      <c r="F188" s="18"/>
      <c r="G188" s="18" t="s">
        <v>10007</v>
      </c>
      <c r="H188" s="18" t="s">
        <v>179</v>
      </c>
      <c r="I188" s="24">
        <v>41053</v>
      </c>
      <c r="J188" s="18" t="s">
        <v>11</v>
      </c>
      <c r="K188" s="18" t="s">
        <v>43</v>
      </c>
      <c r="L188" s="18" t="s">
        <v>10008</v>
      </c>
      <c r="M188" s="18"/>
      <c r="N188" s="18" t="s">
        <v>10</v>
      </c>
      <c r="O188" s="18" t="s">
        <v>10</v>
      </c>
      <c r="P188" s="18" t="s">
        <v>10009</v>
      </c>
      <c r="Q188" s="18" t="s">
        <v>10010</v>
      </c>
      <c r="R188" s="18" t="s">
        <v>667</v>
      </c>
      <c r="S188" s="1" t="s">
        <v>6243</v>
      </c>
      <c r="T188" s="1">
        <f t="shared" si="6"/>
        <v>15512</v>
      </c>
      <c r="U188" s="1">
        <f t="shared" si="7"/>
        <v>6268</v>
      </c>
      <c r="V188" s="1">
        <v>6268</v>
      </c>
      <c r="AH188" s="1">
        <f>SUM(AI188:AT188)</f>
        <v>9244</v>
      </c>
      <c r="AI188" s="1">
        <v>9244</v>
      </c>
    </row>
    <row r="189" spans="1:44" x14ac:dyDescent="0.2">
      <c r="A189" s="18" t="s">
        <v>7451</v>
      </c>
      <c r="B189" s="18">
        <v>22628534</v>
      </c>
      <c r="C189" s="18" t="s">
        <v>7421</v>
      </c>
      <c r="D189" s="18"/>
      <c r="E189" s="19">
        <v>503</v>
      </c>
      <c r="F189" s="18"/>
      <c r="G189" s="18" t="s">
        <v>7452</v>
      </c>
      <c r="H189" s="18" t="s">
        <v>7453</v>
      </c>
      <c r="I189" s="24">
        <v>41052</v>
      </c>
      <c r="J189" s="18" t="s">
        <v>10</v>
      </c>
      <c r="K189" s="18" t="s">
        <v>7454</v>
      </c>
      <c r="L189" s="18" t="s">
        <v>7455</v>
      </c>
      <c r="M189" s="18"/>
      <c r="N189" s="18" t="s">
        <v>10</v>
      </c>
      <c r="O189" s="18" t="s">
        <v>10</v>
      </c>
      <c r="P189" s="18" t="s">
        <v>10917</v>
      </c>
      <c r="Q189" s="18" t="s">
        <v>7456</v>
      </c>
      <c r="R189" s="18" t="s">
        <v>7457</v>
      </c>
      <c r="S189" s="1" t="s">
        <v>6244</v>
      </c>
      <c r="T189" s="1">
        <f t="shared" si="6"/>
        <v>2172</v>
      </c>
      <c r="U189" s="1">
        <f t="shared" si="7"/>
        <v>691</v>
      </c>
      <c r="AD189" s="1">
        <v>691</v>
      </c>
      <c r="AH189" s="1">
        <f>SUM(AI189:AT189)</f>
        <v>1481</v>
      </c>
      <c r="AK189" s="1">
        <f>733+748</f>
        <v>1481</v>
      </c>
    </row>
    <row r="190" spans="1:44" x14ac:dyDescent="0.2">
      <c r="A190" s="18" t="s">
        <v>9382</v>
      </c>
      <c r="B190" s="18">
        <v>22629316</v>
      </c>
      <c r="C190" s="18" t="s">
        <v>7421</v>
      </c>
      <c r="D190" s="18"/>
      <c r="E190" s="19">
        <v>167</v>
      </c>
      <c r="F190" s="18"/>
      <c r="G190" s="18" t="s">
        <v>242</v>
      </c>
      <c r="H190" s="18" t="s">
        <v>7160</v>
      </c>
      <c r="I190" s="24">
        <v>41050</v>
      </c>
      <c r="J190" s="18" t="s">
        <v>10</v>
      </c>
      <c r="K190" s="18" t="s">
        <v>181</v>
      </c>
      <c r="L190" s="18" t="s">
        <v>9383</v>
      </c>
      <c r="M190" s="18"/>
      <c r="N190" s="18" t="s">
        <v>10</v>
      </c>
      <c r="O190" s="18" t="s">
        <v>10</v>
      </c>
      <c r="P190" s="18" t="s">
        <v>9384</v>
      </c>
      <c r="Q190" s="18" t="s">
        <v>33</v>
      </c>
      <c r="R190" s="18" t="s">
        <v>8050</v>
      </c>
      <c r="S190" s="1" t="s">
        <v>6244</v>
      </c>
      <c r="T190" s="1">
        <f t="shared" si="6"/>
        <v>44957</v>
      </c>
      <c r="U190" s="1">
        <f t="shared" si="7"/>
        <v>44957</v>
      </c>
      <c r="V190" s="1">
        <v>32160</v>
      </c>
      <c r="W190" s="1">
        <v>12797</v>
      </c>
    </row>
    <row r="191" spans="1:44" x14ac:dyDescent="0.2">
      <c r="A191" s="18" t="s">
        <v>9548</v>
      </c>
      <c r="B191" s="18">
        <v>22633400</v>
      </c>
      <c r="C191" s="18" t="s">
        <v>7421</v>
      </c>
      <c r="D191" s="18"/>
      <c r="E191" s="19">
        <v>177</v>
      </c>
      <c r="F191" s="18"/>
      <c r="G191" s="18" t="s">
        <v>9549</v>
      </c>
      <c r="H191" s="18" t="s">
        <v>6691</v>
      </c>
      <c r="I191" s="24">
        <v>41052</v>
      </c>
      <c r="J191" s="18" t="s">
        <v>11</v>
      </c>
      <c r="K191" s="18" t="s">
        <v>16</v>
      </c>
      <c r="L191" s="18" t="s">
        <v>9550</v>
      </c>
      <c r="M191" s="18"/>
      <c r="N191" s="18" t="s">
        <v>11</v>
      </c>
      <c r="O191" s="18" t="s">
        <v>11</v>
      </c>
      <c r="P191" s="18" t="s">
        <v>9551</v>
      </c>
      <c r="Q191" s="18" t="s">
        <v>9552</v>
      </c>
      <c r="R191" s="18" t="s">
        <v>9553</v>
      </c>
      <c r="S191" s="1" t="s">
        <v>6244</v>
      </c>
      <c r="T191" s="1">
        <f t="shared" si="6"/>
        <v>392</v>
      </c>
      <c r="U191" s="1">
        <f t="shared" si="7"/>
        <v>269</v>
      </c>
      <c r="V191" s="1">
        <v>269</v>
      </c>
      <c r="AH191" s="1">
        <f>SUM(AI191:AT191)</f>
        <v>123</v>
      </c>
      <c r="AI191" s="1">
        <v>5</v>
      </c>
      <c r="AJ191" s="1">
        <v>32</v>
      </c>
      <c r="AK191" s="1">
        <v>3</v>
      </c>
      <c r="AM191" s="1">
        <v>72</v>
      </c>
      <c r="AP191" s="1">
        <v>11</v>
      </c>
    </row>
    <row r="192" spans="1:44" x14ac:dyDescent="0.2">
      <c r="A192" s="18" t="s">
        <v>8432</v>
      </c>
      <c r="B192" s="18">
        <v>22634755</v>
      </c>
      <c r="C192" s="18" t="s">
        <v>7421</v>
      </c>
      <c r="D192" s="18"/>
      <c r="E192" s="19">
        <v>261</v>
      </c>
      <c r="F192" s="18"/>
      <c r="G192" s="18" t="s">
        <v>145</v>
      </c>
      <c r="H192" s="18" t="s">
        <v>146</v>
      </c>
      <c r="I192" s="24">
        <v>41056</v>
      </c>
      <c r="J192" s="18" t="s">
        <v>11</v>
      </c>
      <c r="K192" s="18" t="s">
        <v>28</v>
      </c>
      <c r="L192" s="18" t="s">
        <v>8433</v>
      </c>
      <c r="M192" s="18"/>
      <c r="N192" s="18" t="s">
        <v>10</v>
      </c>
      <c r="O192" s="18" t="s">
        <v>10</v>
      </c>
      <c r="P192" s="18" t="s">
        <v>8434</v>
      </c>
      <c r="Q192" s="18" t="s">
        <v>8435</v>
      </c>
      <c r="R192" s="18" t="s">
        <v>667</v>
      </c>
      <c r="S192" s="1" t="s">
        <v>6244</v>
      </c>
      <c r="T192" s="1">
        <f t="shared" si="6"/>
        <v>58431</v>
      </c>
      <c r="U192" s="1">
        <f t="shared" si="7"/>
        <v>17780</v>
      </c>
      <c r="V192" s="1">
        <f>8323+9457</f>
        <v>17780</v>
      </c>
      <c r="AH192" s="1">
        <f>SUM(AI192:AT192)</f>
        <v>40651</v>
      </c>
      <c r="AI192" s="1">
        <f>19513+17657</f>
        <v>37170</v>
      </c>
      <c r="AK192" s="1">
        <f>1898+1583</f>
        <v>3481</v>
      </c>
    </row>
    <row r="193" spans="1:44" x14ac:dyDescent="0.2">
      <c r="A193" s="18" t="s">
        <v>1543</v>
      </c>
      <c r="B193" s="18">
        <v>22648509</v>
      </c>
      <c r="C193" s="18" t="s">
        <v>7421</v>
      </c>
      <c r="D193" s="18"/>
      <c r="E193" s="19">
        <v>60</v>
      </c>
      <c r="F193" s="18"/>
      <c r="G193" s="18" t="s">
        <v>10440</v>
      </c>
      <c r="H193" s="18" t="s">
        <v>2545</v>
      </c>
      <c r="I193" s="24">
        <v>41060</v>
      </c>
      <c r="J193" s="18" t="s">
        <v>11</v>
      </c>
      <c r="K193" s="18" t="s">
        <v>9744</v>
      </c>
      <c r="L193" s="18" t="s">
        <v>10441</v>
      </c>
      <c r="M193" s="18"/>
      <c r="N193" s="18" t="s">
        <v>10</v>
      </c>
      <c r="O193" s="18" t="s">
        <v>10</v>
      </c>
      <c r="P193" s="18" t="s">
        <v>10442</v>
      </c>
      <c r="Q193" s="18" t="s">
        <v>33</v>
      </c>
      <c r="R193" s="18" t="s">
        <v>10443</v>
      </c>
      <c r="S193" s="1" t="s">
        <v>6243</v>
      </c>
      <c r="T193" s="1">
        <f t="shared" si="6"/>
        <v>3529</v>
      </c>
      <c r="U193" s="1">
        <f t="shared" si="7"/>
        <v>3529</v>
      </c>
      <c r="V193" s="1">
        <f>835+2694</f>
        <v>3529</v>
      </c>
    </row>
    <row r="194" spans="1:44" x14ac:dyDescent="0.2">
      <c r="A194" s="18" t="s">
        <v>8593</v>
      </c>
      <c r="B194" s="18">
        <v>22658545</v>
      </c>
      <c r="C194" s="18" t="s">
        <v>7421</v>
      </c>
      <c r="D194" s="18"/>
      <c r="E194" s="19">
        <v>661</v>
      </c>
      <c r="F194" s="18">
        <v>1</v>
      </c>
      <c r="G194" s="18" t="s">
        <v>8969</v>
      </c>
      <c r="H194" s="18" t="s">
        <v>8970</v>
      </c>
      <c r="I194" s="24">
        <v>41059</v>
      </c>
      <c r="J194" s="18" t="s">
        <v>10</v>
      </c>
      <c r="K194" s="18" t="s">
        <v>16</v>
      </c>
      <c r="L194" s="18" t="s">
        <v>8971</v>
      </c>
      <c r="M194" s="18"/>
      <c r="N194" s="18" t="s">
        <v>10</v>
      </c>
      <c r="O194" s="18" t="s">
        <v>10</v>
      </c>
      <c r="P194" s="18" t="s">
        <v>8972</v>
      </c>
      <c r="Q194" s="18" t="s">
        <v>8973</v>
      </c>
      <c r="R194" s="18" t="s">
        <v>10929</v>
      </c>
      <c r="S194" s="1" t="s">
        <v>6244</v>
      </c>
      <c r="T194" s="1">
        <f t="shared" ref="T194:T257" si="10">SUM(U194,AH194)</f>
        <v>236</v>
      </c>
      <c r="U194" s="1">
        <f t="shared" ref="U194:U257" si="11">SUM(V194:AG194)</f>
        <v>120</v>
      </c>
      <c r="V194" s="1">
        <v>60</v>
      </c>
      <c r="W194" s="1">
        <v>60</v>
      </c>
      <c r="AH194" s="1">
        <f>SUM(AI194:AT194)</f>
        <v>116</v>
      </c>
      <c r="AI194" s="1">
        <v>58</v>
      </c>
      <c r="AJ194" s="1">
        <v>58</v>
      </c>
    </row>
    <row r="195" spans="1:44" x14ac:dyDescent="0.2">
      <c r="A195" s="18" t="s">
        <v>1269</v>
      </c>
      <c r="B195" s="18">
        <v>22658654</v>
      </c>
      <c r="C195" s="18" t="s">
        <v>7421</v>
      </c>
      <c r="D195" s="18"/>
      <c r="E195" s="19">
        <v>58</v>
      </c>
      <c r="F195" s="18"/>
      <c r="G195" s="18" t="s">
        <v>9955</v>
      </c>
      <c r="H195" s="18" t="s">
        <v>9956</v>
      </c>
      <c r="I195" s="24">
        <v>41059</v>
      </c>
      <c r="J195" s="18" t="s">
        <v>11</v>
      </c>
      <c r="K195" s="18" t="s">
        <v>9957</v>
      </c>
      <c r="L195" s="18" t="s">
        <v>9958</v>
      </c>
      <c r="M195" s="18"/>
      <c r="N195" s="18" t="s">
        <v>10</v>
      </c>
      <c r="O195" s="18" t="s">
        <v>10</v>
      </c>
      <c r="P195" s="18" t="s">
        <v>9959</v>
      </c>
      <c r="Q195" s="18" t="s">
        <v>33</v>
      </c>
      <c r="R195" s="18" t="s">
        <v>10955</v>
      </c>
      <c r="S195" s="1" t="s">
        <v>6243</v>
      </c>
      <c r="T195" s="1">
        <f t="shared" si="10"/>
        <v>443</v>
      </c>
      <c r="U195" s="1">
        <f t="shared" si="11"/>
        <v>443</v>
      </c>
      <c r="V195" s="1">
        <v>443</v>
      </c>
    </row>
    <row r="196" spans="1:44" x14ac:dyDescent="0.2">
      <c r="A196" s="18" t="s">
        <v>7690</v>
      </c>
      <c r="B196" s="18">
        <v>22658931</v>
      </c>
      <c r="C196" s="18" t="s">
        <v>7421</v>
      </c>
      <c r="D196" s="18"/>
      <c r="E196" s="19">
        <v>93</v>
      </c>
      <c r="F196" s="18"/>
      <c r="G196" s="18" t="s">
        <v>7691</v>
      </c>
      <c r="H196" s="18" t="s">
        <v>7692</v>
      </c>
      <c r="I196" s="24">
        <v>41059</v>
      </c>
      <c r="J196" s="18" t="s">
        <v>11</v>
      </c>
      <c r="K196" s="18" t="s">
        <v>2184</v>
      </c>
      <c r="L196" s="18" t="s">
        <v>7693</v>
      </c>
      <c r="M196" s="18"/>
      <c r="N196" s="18" t="s">
        <v>10</v>
      </c>
      <c r="O196" s="18" t="s">
        <v>10</v>
      </c>
      <c r="P196" s="18" t="s">
        <v>7694</v>
      </c>
      <c r="Q196" s="18" t="s">
        <v>33</v>
      </c>
      <c r="R196" s="18" t="s">
        <v>7695</v>
      </c>
      <c r="S196" s="1" t="s">
        <v>6243</v>
      </c>
      <c r="T196" s="1">
        <f t="shared" si="10"/>
        <v>726</v>
      </c>
      <c r="U196" s="1">
        <f t="shared" si="11"/>
        <v>726</v>
      </c>
      <c r="V196" s="1">
        <v>726</v>
      </c>
    </row>
    <row r="197" spans="1:44" x14ac:dyDescent="0.2">
      <c r="A197" s="18" t="s">
        <v>9214</v>
      </c>
      <c r="B197" s="18">
        <v>22661280</v>
      </c>
      <c r="C197" s="18" t="s">
        <v>7421</v>
      </c>
      <c r="D197" s="18"/>
      <c r="E197" s="19">
        <v>37</v>
      </c>
      <c r="F197" s="18"/>
      <c r="G197" s="18" t="s">
        <v>9215</v>
      </c>
      <c r="H197" s="18" t="s">
        <v>7698</v>
      </c>
      <c r="I197" s="24">
        <v>41063</v>
      </c>
      <c r="J197" s="18" t="s">
        <v>10</v>
      </c>
      <c r="K197" s="18" t="s">
        <v>595</v>
      </c>
      <c r="L197" s="18" t="s">
        <v>9216</v>
      </c>
      <c r="M197" s="18"/>
      <c r="N197" s="18" t="s">
        <v>10</v>
      </c>
      <c r="O197" s="18" t="s">
        <v>10</v>
      </c>
      <c r="P197" s="18" t="s">
        <v>9217</v>
      </c>
      <c r="Q197" s="18" t="s">
        <v>33</v>
      </c>
      <c r="R197" s="18" t="s">
        <v>9218</v>
      </c>
      <c r="S197" s="1" t="s">
        <v>6244</v>
      </c>
      <c r="T197" s="1">
        <f t="shared" si="10"/>
        <v>744</v>
      </c>
      <c r="U197" s="1">
        <f t="shared" si="11"/>
        <v>744</v>
      </c>
      <c r="V197" s="1">
        <v>537</v>
      </c>
      <c r="W197" s="1">
        <v>207</v>
      </c>
    </row>
    <row r="198" spans="1:44" x14ac:dyDescent="0.2">
      <c r="A198" s="18" t="s">
        <v>8978</v>
      </c>
      <c r="B198" s="18">
        <v>22661486</v>
      </c>
      <c r="C198" s="18" t="s">
        <v>7421</v>
      </c>
      <c r="D198" s="18"/>
      <c r="E198" s="19">
        <v>28</v>
      </c>
      <c r="F198" s="18"/>
      <c r="G198" s="18" t="s">
        <v>8979</v>
      </c>
      <c r="H198" s="18" t="s">
        <v>7263</v>
      </c>
      <c r="I198" s="24">
        <v>41061</v>
      </c>
      <c r="J198" s="18" t="s">
        <v>11</v>
      </c>
      <c r="K198" s="18" t="s">
        <v>3232</v>
      </c>
      <c r="L198" s="18" t="s">
        <v>8980</v>
      </c>
      <c r="M198" s="18"/>
      <c r="N198" s="18" t="s">
        <v>10</v>
      </c>
      <c r="O198" s="18" t="s">
        <v>10</v>
      </c>
      <c r="P198" s="18" t="s">
        <v>8981</v>
      </c>
      <c r="Q198" s="18" t="s">
        <v>33</v>
      </c>
      <c r="R198" s="18" t="s">
        <v>8982</v>
      </c>
      <c r="S198" s="1" t="s">
        <v>6243</v>
      </c>
      <c r="T198" s="1">
        <f t="shared" si="10"/>
        <v>1117</v>
      </c>
      <c r="U198" s="1">
        <f t="shared" si="11"/>
        <v>1117</v>
      </c>
      <c r="V198" s="1">
        <f>973+144</f>
        <v>1117</v>
      </c>
    </row>
    <row r="199" spans="1:44" x14ac:dyDescent="0.2">
      <c r="A199" s="18" t="s">
        <v>1127</v>
      </c>
      <c r="B199" s="18">
        <v>22664479</v>
      </c>
      <c r="C199" s="18" t="s">
        <v>7421</v>
      </c>
      <c r="D199" s="18"/>
      <c r="E199" s="19">
        <v>76</v>
      </c>
      <c r="F199" s="18"/>
      <c r="G199" s="18" t="s">
        <v>9298</v>
      </c>
      <c r="H199" s="18" t="s">
        <v>9299</v>
      </c>
      <c r="I199" s="24">
        <v>41065</v>
      </c>
      <c r="J199" s="18" t="s">
        <v>11</v>
      </c>
      <c r="K199" s="18" t="s">
        <v>113</v>
      </c>
      <c r="L199" s="18" t="s">
        <v>9300</v>
      </c>
      <c r="M199" s="18"/>
      <c r="N199" s="18" t="s">
        <v>10</v>
      </c>
      <c r="O199" s="18" t="s">
        <v>10</v>
      </c>
      <c r="P199" s="18" t="s">
        <v>9301</v>
      </c>
      <c r="Q199" s="18" t="s">
        <v>9302</v>
      </c>
      <c r="R199" s="18" t="s">
        <v>9303</v>
      </c>
      <c r="S199" s="1" t="s">
        <v>6248</v>
      </c>
      <c r="T199" s="1">
        <f t="shared" si="10"/>
        <v>247</v>
      </c>
      <c r="U199" s="1">
        <f t="shared" si="11"/>
        <v>101</v>
      </c>
      <c r="AE199" s="1">
        <v>101</v>
      </c>
      <c r="AH199" s="1">
        <f t="shared" ref="AH199:AH204" si="12">SUM(AI199:AT199)</f>
        <v>146</v>
      </c>
      <c r="AR199" s="1">
        <v>146</v>
      </c>
    </row>
    <row r="200" spans="1:44" x14ac:dyDescent="0.2">
      <c r="A200" s="18" t="s">
        <v>9922</v>
      </c>
      <c r="B200" s="18">
        <v>22665904</v>
      </c>
      <c r="C200" s="18" t="s">
        <v>7421</v>
      </c>
      <c r="D200" s="18"/>
      <c r="E200" s="19">
        <v>26</v>
      </c>
      <c r="F200" s="18"/>
      <c r="G200" s="18" t="s">
        <v>9923</v>
      </c>
      <c r="H200" s="18" t="s">
        <v>9917</v>
      </c>
      <c r="I200" s="24">
        <v>41064</v>
      </c>
      <c r="J200" s="18" t="s">
        <v>11</v>
      </c>
      <c r="K200" s="18" t="s">
        <v>2053</v>
      </c>
      <c r="L200" s="18" t="s">
        <v>9924</v>
      </c>
      <c r="M200" s="18"/>
      <c r="N200" s="18" t="s">
        <v>10</v>
      </c>
      <c r="O200" s="18" t="s">
        <v>10</v>
      </c>
      <c r="P200" s="18" t="s">
        <v>9925</v>
      </c>
      <c r="Q200" s="18" t="s">
        <v>9926</v>
      </c>
      <c r="R200" s="18" t="s">
        <v>9927</v>
      </c>
      <c r="S200" s="1" t="s">
        <v>6244</v>
      </c>
      <c r="T200" s="1">
        <f t="shared" si="10"/>
        <v>1085</v>
      </c>
      <c r="U200" s="1">
        <f t="shared" si="11"/>
        <v>252</v>
      </c>
      <c r="V200" s="1">
        <v>252</v>
      </c>
      <c r="AH200" s="1">
        <f t="shared" si="12"/>
        <v>833</v>
      </c>
      <c r="AI200" s="1">
        <v>798</v>
      </c>
      <c r="AJ200" s="1">
        <v>21</v>
      </c>
      <c r="AK200" s="1">
        <v>10</v>
      </c>
      <c r="AL200" s="1">
        <v>4</v>
      </c>
    </row>
    <row r="201" spans="1:44" x14ac:dyDescent="0.2">
      <c r="A201" s="18" t="s">
        <v>8627</v>
      </c>
      <c r="B201" s="18">
        <v>22666496</v>
      </c>
      <c r="C201" s="18" t="s">
        <v>7421</v>
      </c>
      <c r="D201" s="18"/>
      <c r="E201" s="19">
        <v>79</v>
      </c>
      <c r="F201" s="18"/>
      <c r="G201" s="18" t="s">
        <v>8628</v>
      </c>
      <c r="H201" s="18" t="s">
        <v>8629</v>
      </c>
      <c r="I201" s="24">
        <v>41059</v>
      </c>
      <c r="J201" s="18" t="s">
        <v>11</v>
      </c>
      <c r="K201" s="18" t="s">
        <v>181</v>
      </c>
      <c r="L201" s="18" t="s">
        <v>8630</v>
      </c>
      <c r="M201" s="18"/>
      <c r="N201" s="18" t="s">
        <v>10</v>
      </c>
      <c r="O201" s="18" t="s">
        <v>10</v>
      </c>
      <c r="P201" s="18" t="s">
        <v>8631</v>
      </c>
      <c r="Q201" s="18" t="s">
        <v>8632</v>
      </c>
      <c r="R201" s="18" t="s">
        <v>8633</v>
      </c>
      <c r="S201" s="1" t="s">
        <v>6244</v>
      </c>
      <c r="T201" s="1">
        <f t="shared" si="10"/>
        <v>8353</v>
      </c>
      <c r="U201" s="1">
        <f t="shared" si="11"/>
        <v>3109</v>
      </c>
      <c r="V201" s="1">
        <f>667+2246</f>
        <v>2913</v>
      </c>
      <c r="W201" s="1">
        <v>78</v>
      </c>
      <c r="X201" s="1">
        <v>33</v>
      </c>
      <c r="Z201" s="1">
        <v>85</v>
      </c>
      <c r="AH201" s="1">
        <f t="shared" si="12"/>
        <v>5244</v>
      </c>
      <c r="AR201" s="1">
        <f>590+4654</f>
        <v>5244</v>
      </c>
    </row>
    <row r="202" spans="1:44" x14ac:dyDescent="0.2">
      <c r="A202" s="18" t="s">
        <v>10838</v>
      </c>
      <c r="B202" s="18">
        <v>22672568</v>
      </c>
      <c r="C202" s="18" t="s">
        <v>7421</v>
      </c>
      <c r="D202" s="18"/>
      <c r="E202" s="19">
        <v>98</v>
      </c>
      <c r="F202" s="18"/>
      <c r="G202" s="18" t="s">
        <v>773</v>
      </c>
      <c r="H202" s="18" t="s">
        <v>7171</v>
      </c>
      <c r="I202" s="24">
        <v>41065</v>
      </c>
      <c r="J202" s="18" t="s">
        <v>11</v>
      </c>
      <c r="K202" s="18" t="s">
        <v>10839</v>
      </c>
      <c r="L202" s="18" t="s">
        <v>10840</v>
      </c>
      <c r="M202" s="18"/>
      <c r="N202" s="18" t="s">
        <v>10</v>
      </c>
      <c r="O202" s="18" t="s">
        <v>10</v>
      </c>
      <c r="P202" s="18" t="s">
        <v>10841</v>
      </c>
      <c r="Q202" s="18" t="s">
        <v>10842</v>
      </c>
      <c r="R202" s="18" t="s">
        <v>667</v>
      </c>
      <c r="S202" s="1" t="s">
        <v>6244</v>
      </c>
      <c r="T202" s="1">
        <f t="shared" si="10"/>
        <v>5787</v>
      </c>
      <c r="U202" s="1">
        <f t="shared" si="11"/>
        <v>2962</v>
      </c>
      <c r="AD202" s="1">
        <f>1503+1459</f>
        <v>2962</v>
      </c>
      <c r="AH202" s="1">
        <f t="shared" si="12"/>
        <v>2825</v>
      </c>
      <c r="AR202" s="1">
        <f>1407+1418</f>
        <v>2825</v>
      </c>
    </row>
    <row r="203" spans="1:44" x14ac:dyDescent="0.2">
      <c r="A203" s="18" t="s">
        <v>9239</v>
      </c>
      <c r="B203" s="18">
        <v>22673310</v>
      </c>
      <c r="C203" s="18" t="s">
        <v>7421</v>
      </c>
      <c r="D203" s="18"/>
      <c r="E203" s="19">
        <v>5</v>
      </c>
      <c r="F203" s="18"/>
      <c r="G203" s="18" t="s">
        <v>9240</v>
      </c>
      <c r="H203" s="18" t="s">
        <v>8441</v>
      </c>
      <c r="I203" s="24">
        <v>41067</v>
      </c>
      <c r="J203" s="18" t="s">
        <v>11</v>
      </c>
      <c r="K203" s="18" t="s">
        <v>1850</v>
      </c>
      <c r="L203" s="18" t="s">
        <v>9241</v>
      </c>
      <c r="M203" s="18"/>
      <c r="N203" s="18" t="s">
        <v>11</v>
      </c>
      <c r="O203" s="18" t="s">
        <v>11</v>
      </c>
      <c r="P203" s="18" t="s">
        <v>9221</v>
      </c>
      <c r="Q203" s="18" t="s">
        <v>9242</v>
      </c>
      <c r="R203" s="18" t="s">
        <v>9223</v>
      </c>
      <c r="S203" s="1" t="s">
        <v>6242</v>
      </c>
      <c r="T203" s="1">
        <f t="shared" si="10"/>
        <v>3495</v>
      </c>
      <c r="U203" s="1">
        <f t="shared" si="11"/>
        <v>1999</v>
      </c>
      <c r="X203" s="1">
        <v>1999</v>
      </c>
      <c r="AH203" s="1">
        <f t="shared" si="12"/>
        <v>1496</v>
      </c>
      <c r="AK203" s="1">
        <v>1496</v>
      </c>
    </row>
    <row r="204" spans="1:44" x14ac:dyDescent="0.2">
      <c r="A204" s="18" t="s">
        <v>7822</v>
      </c>
      <c r="B204" s="18">
        <v>22673963</v>
      </c>
      <c r="C204" s="18" t="s">
        <v>7421</v>
      </c>
      <c r="D204" s="18"/>
      <c r="E204" s="19">
        <v>77</v>
      </c>
      <c r="F204" s="18"/>
      <c r="G204" s="18" t="s">
        <v>8373</v>
      </c>
      <c r="H204" s="18" t="s">
        <v>8374</v>
      </c>
      <c r="I204" s="24">
        <v>41067</v>
      </c>
      <c r="J204" s="18" t="s">
        <v>11</v>
      </c>
      <c r="K204" s="18" t="s">
        <v>595</v>
      </c>
      <c r="L204" s="18" t="s">
        <v>8375</v>
      </c>
      <c r="M204" s="18"/>
      <c r="N204" s="18" t="s">
        <v>10</v>
      </c>
      <c r="O204" s="18" t="s">
        <v>10</v>
      </c>
      <c r="P204" s="18" t="s">
        <v>8376</v>
      </c>
      <c r="Q204" s="18" t="s">
        <v>8377</v>
      </c>
      <c r="R204" s="18" t="s">
        <v>8378</v>
      </c>
      <c r="S204" s="1" t="s">
        <v>6244</v>
      </c>
      <c r="T204" s="1">
        <f t="shared" si="10"/>
        <v>1700</v>
      </c>
      <c r="U204" s="1">
        <f t="shared" si="11"/>
        <v>592</v>
      </c>
      <c r="V204" s="1">
        <f>442+150</f>
        <v>592</v>
      </c>
      <c r="AH204" s="1">
        <f t="shared" si="12"/>
        <v>1108</v>
      </c>
      <c r="AM204" s="1">
        <v>1108</v>
      </c>
    </row>
    <row r="205" spans="1:44" x14ac:dyDescent="0.2">
      <c r="A205" s="18" t="s">
        <v>2393</v>
      </c>
      <c r="B205" s="18">
        <v>22675492</v>
      </c>
      <c r="C205" s="18" t="s">
        <v>7421</v>
      </c>
      <c r="D205" s="18"/>
      <c r="E205" s="19">
        <v>395</v>
      </c>
      <c r="F205" s="18"/>
      <c r="G205" s="18" t="s">
        <v>8336</v>
      </c>
      <c r="H205" s="18" t="s">
        <v>8337</v>
      </c>
      <c r="I205" s="24">
        <v>41064</v>
      </c>
      <c r="J205" s="18" t="s">
        <v>11</v>
      </c>
      <c r="K205" s="18" t="s">
        <v>181</v>
      </c>
      <c r="L205" s="18" t="s">
        <v>8338</v>
      </c>
      <c r="M205" s="18"/>
      <c r="N205" s="18" t="s">
        <v>11</v>
      </c>
      <c r="O205" s="18" t="s">
        <v>11</v>
      </c>
      <c r="P205" s="18" t="s">
        <v>8339</v>
      </c>
      <c r="Q205" s="18" t="s">
        <v>33</v>
      </c>
      <c r="R205" s="18" t="s">
        <v>667</v>
      </c>
      <c r="S205" s="1" t="s">
        <v>6243</v>
      </c>
      <c r="T205" s="1">
        <f t="shared" si="10"/>
        <v>1583</v>
      </c>
      <c r="U205" s="1">
        <f t="shared" si="11"/>
        <v>1583</v>
      </c>
      <c r="V205" s="1">
        <v>1583</v>
      </c>
    </row>
    <row r="206" spans="1:44" x14ac:dyDescent="0.2">
      <c r="A206" s="18" t="s">
        <v>3085</v>
      </c>
      <c r="B206" s="18">
        <v>22675575</v>
      </c>
      <c r="C206" s="18" t="s">
        <v>7421</v>
      </c>
      <c r="D206" s="18"/>
      <c r="E206" s="19">
        <v>217</v>
      </c>
      <c r="F206" s="18"/>
      <c r="G206" s="18" t="s">
        <v>1364</v>
      </c>
      <c r="H206" s="18" t="s">
        <v>7171</v>
      </c>
      <c r="I206" s="24">
        <v>41064</v>
      </c>
      <c r="J206" s="18" t="s">
        <v>10</v>
      </c>
      <c r="K206" s="18" t="s">
        <v>181</v>
      </c>
      <c r="L206" s="18" t="s">
        <v>10843</v>
      </c>
      <c r="M206" s="18"/>
      <c r="N206" s="18" t="s">
        <v>10</v>
      </c>
      <c r="O206" s="18" t="s">
        <v>10</v>
      </c>
      <c r="P206" s="18" t="s">
        <v>10844</v>
      </c>
      <c r="Q206" s="18" t="s">
        <v>10845</v>
      </c>
      <c r="R206" s="18" t="s">
        <v>10846</v>
      </c>
      <c r="S206" s="1" t="s">
        <v>6243</v>
      </c>
      <c r="T206" s="1">
        <f t="shared" si="10"/>
        <v>6844</v>
      </c>
      <c r="U206" s="1">
        <f t="shared" si="11"/>
        <v>4517</v>
      </c>
      <c r="V206" s="1">
        <f>2050+2467</f>
        <v>4517</v>
      </c>
      <c r="AH206" s="1">
        <f>SUM(AI206:AT206)</f>
        <v>2327</v>
      </c>
      <c r="AR206" s="1">
        <f>934+1393</f>
        <v>2327</v>
      </c>
    </row>
    <row r="207" spans="1:44" x14ac:dyDescent="0.2">
      <c r="A207" s="18" t="s">
        <v>7926</v>
      </c>
      <c r="B207" s="18">
        <v>22678113</v>
      </c>
      <c r="C207" s="18" t="s">
        <v>7421</v>
      </c>
      <c r="D207" s="18"/>
      <c r="E207" s="19">
        <v>171</v>
      </c>
      <c r="F207" s="18"/>
      <c r="G207" s="18" t="s">
        <v>1727</v>
      </c>
      <c r="H207" s="18" t="s">
        <v>70</v>
      </c>
      <c r="I207" s="24">
        <v>41068</v>
      </c>
      <c r="J207" s="18" t="s">
        <v>11</v>
      </c>
      <c r="K207" s="18" t="s">
        <v>9615</v>
      </c>
      <c r="L207" s="18" t="s">
        <v>9616</v>
      </c>
      <c r="M207" s="18"/>
      <c r="N207" s="18" t="s">
        <v>10</v>
      </c>
      <c r="O207" s="18" t="s">
        <v>10</v>
      </c>
      <c r="P207" s="18" t="s">
        <v>9617</v>
      </c>
      <c r="Q207" s="18" t="s">
        <v>9618</v>
      </c>
      <c r="R207" s="18" t="s">
        <v>9619</v>
      </c>
      <c r="S207" s="1" t="s">
        <v>6243</v>
      </c>
      <c r="T207" s="1">
        <f t="shared" si="10"/>
        <v>25998</v>
      </c>
      <c r="U207" s="1">
        <f t="shared" si="11"/>
        <v>285</v>
      </c>
      <c r="V207" s="1">
        <f>76+209</f>
        <v>285</v>
      </c>
      <c r="AH207" s="1">
        <f>SUM(AI207:AT207)</f>
        <v>25713</v>
      </c>
      <c r="AI207" s="1">
        <f>4705+21008</f>
        <v>25713</v>
      </c>
    </row>
    <row r="208" spans="1:44" x14ac:dyDescent="0.2">
      <c r="A208" s="18" t="s">
        <v>10492</v>
      </c>
      <c r="B208" s="18">
        <v>22679008</v>
      </c>
      <c r="C208" s="18" t="s">
        <v>7421</v>
      </c>
      <c r="D208" s="18"/>
      <c r="E208" s="19">
        <v>8</v>
      </c>
      <c r="F208" s="18"/>
      <c r="G208" s="18" t="s">
        <v>10493</v>
      </c>
      <c r="H208" s="18" t="s">
        <v>10494</v>
      </c>
      <c r="I208" s="24">
        <v>41067</v>
      </c>
      <c r="J208" s="18" t="s">
        <v>10</v>
      </c>
      <c r="K208" s="18" t="s">
        <v>1637</v>
      </c>
      <c r="L208" s="18" t="s">
        <v>10495</v>
      </c>
      <c r="M208" s="18"/>
      <c r="N208" s="18" t="s">
        <v>10</v>
      </c>
      <c r="O208" s="18" t="s">
        <v>10</v>
      </c>
      <c r="P208" s="18" t="s">
        <v>10496</v>
      </c>
      <c r="Q208" s="18" t="s">
        <v>33</v>
      </c>
      <c r="R208" s="18" t="s">
        <v>10234</v>
      </c>
      <c r="S208" s="1" t="s">
        <v>6440</v>
      </c>
      <c r="T208" s="1">
        <f t="shared" si="10"/>
        <v>175</v>
      </c>
      <c r="U208" s="1">
        <f t="shared" si="11"/>
        <v>175</v>
      </c>
      <c r="W208" s="1">
        <f>112+63</f>
        <v>175</v>
      </c>
    </row>
    <row r="209" spans="1:43" x14ac:dyDescent="0.2">
      <c r="A209" s="18" t="s">
        <v>9620</v>
      </c>
      <c r="B209" s="18">
        <v>22683712</v>
      </c>
      <c r="C209" s="18" t="s">
        <v>7421</v>
      </c>
      <c r="D209" s="18"/>
      <c r="E209" s="19">
        <v>39</v>
      </c>
      <c r="F209" s="18"/>
      <c r="G209" s="18" t="s">
        <v>9621</v>
      </c>
      <c r="H209" s="18" t="s">
        <v>70</v>
      </c>
      <c r="I209" s="24">
        <v>41070</v>
      </c>
      <c r="J209" s="18" t="s">
        <v>11</v>
      </c>
      <c r="K209" s="18" t="s">
        <v>28</v>
      </c>
      <c r="L209" s="18" t="s">
        <v>9622</v>
      </c>
      <c r="M209" s="18"/>
      <c r="N209" s="18" t="s">
        <v>10</v>
      </c>
      <c r="O209" s="18" t="s">
        <v>10</v>
      </c>
      <c r="P209" s="18" t="s">
        <v>9623</v>
      </c>
      <c r="Q209" s="18" t="s">
        <v>9624</v>
      </c>
      <c r="R209" s="18" t="s">
        <v>9625</v>
      </c>
      <c r="S209" s="1" t="s">
        <v>6243</v>
      </c>
      <c r="T209" s="1">
        <f t="shared" si="10"/>
        <v>12066</v>
      </c>
      <c r="U209" s="1">
        <f t="shared" si="11"/>
        <v>6906</v>
      </c>
      <c r="V209" s="1">
        <f>2326+4580</f>
        <v>6906</v>
      </c>
      <c r="AH209" s="1">
        <f>SUM(AI209:AT209)</f>
        <v>5160</v>
      </c>
      <c r="AI209" s="1">
        <f>2508+2652</f>
        <v>5160</v>
      </c>
    </row>
    <row r="210" spans="1:43" x14ac:dyDescent="0.2">
      <c r="A210" s="18" t="s">
        <v>8681</v>
      </c>
      <c r="B210" s="18">
        <v>22683750</v>
      </c>
      <c r="C210" s="18" t="s">
        <v>7421</v>
      </c>
      <c r="D210" s="18"/>
      <c r="E210" s="19">
        <v>8</v>
      </c>
      <c r="F210" s="18"/>
      <c r="G210" s="18" t="s">
        <v>8682</v>
      </c>
      <c r="H210" s="18" t="s">
        <v>7252</v>
      </c>
      <c r="I210" s="24">
        <v>41065</v>
      </c>
      <c r="J210" s="18" t="s">
        <v>11</v>
      </c>
      <c r="K210" s="18" t="s">
        <v>748</v>
      </c>
      <c r="L210" s="18" t="s">
        <v>8683</v>
      </c>
      <c r="M210" s="18"/>
      <c r="N210" s="18" t="s">
        <v>10</v>
      </c>
      <c r="O210" s="18" t="s">
        <v>10</v>
      </c>
      <c r="P210" s="18" t="s">
        <v>8684</v>
      </c>
      <c r="Q210" s="18" t="s">
        <v>8685</v>
      </c>
      <c r="R210" s="18" t="s">
        <v>8686</v>
      </c>
      <c r="S210" s="1" t="s">
        <v>6243</v>
      </c>
      <c r="T210" s="1">
        <f t="shared" si="10"/>
        <v>14633</v>
      </c>
      <c r="U210" s="1">
        <f t="shared" si="11"/>
        <v>7482</v>
      </c>
      <c r="V210" s="1">
        <v>7482</v>
      </c>
      <c r="AH210" s="1">
        <f>SUM(AI210:AT210)</f>
        <v>7151</v>
      </c>
      <c r="AI210" s="1">
        <v>7151</v>
      </c>
    </row>
    <row r="211" spans="1:43" x14ac:dyDescent="0.2">
      <c r="A211" s="18" t="s">
        <v>8940</v>
      </c>
      <c r="B211" s="18">
        <v>22685416</v>
      </c>
      <c r="C211" s="18" t="s">
        <v>7421</v>
      </c>
      <c r="D211" s="18"/>
      <c r="E211" s="19">
        <v>102587</v>
      </c>
      <c r="F211" s="18">
        <v>1</v>
      </c>
      <c r="G211" s="18" t="s">
        <v>8941</v>
      </c>
      <c r="H211" s="18" t="s">
        <v>7351</v>
      </c>
      <c r="I211" s="24">
        <v>41067</v>
      </c>
      <c r="J211" s="18" t="s">
        <v>10</v>
      </c>
      <c r="K211" s="18" t="s">
        <v>65</v>
      </c>
      <c r="L211" s="18" t="s">
        <v>8942</v>
      </c>
      <c r="M211" s="18"/>
      <c r="N211" s="18" t="s">
        <v>10</v>
      </c>
      <c r="O211" s="18" t="s">
        <v>10</v>
      </c>
      <c r="P211" s="18" t="s">
        <v>8943</v>
      </c>
      <c r="Q211" s="18" t="s">
        <v>33</v>
      </c>
      <c r="R211" s="18" t="s">
        <v>8944</v>
      </c>
      <c r="S211" s="1" t="s">
        <v>6248</v>
      </c>
      <c r="T211" s="1">
        <f t="shared" si="10"/>
        <v>400</v>
      </c>
      <c r="U211" s="1">
        <f t="shared" si="11"/>
        <v>400</v>
      </c>
      <c r="AE211" s="1">
        <v>400</v>
      </c>
    </row>
    <row r="212" spans="1:43" x14ac:dyDescent="0.2">
      <c r="A212" s="18" t="s">
        <v>3180</v>
      </c>
      <c r="B212" s="18">
        <v>22685421</v>
      </c>
      <c r="C212" s="18" t="s">
        <v>7421</v>
      </c>
      <c r="D212" s="18"/>
      <c r="E212" s="19">
        <v>21</v>
      </c>
      <c r="F212" s="18"/>
      <c r="G212" s="18" t="s">
        <v>9847</v>
      </c>
      <c r="H212" s="18" t="s">
        <v>9848</v>
      </c>
      <c r="I212" s="24">
        <v>41067</v>
      </c>
      <c r="J212" s="18" t="s">
        <v>11</v>
      </c>
      <c r="K212" s="18" t="s">
        <v>65</v>
      </c>
      <c r="L212" s="18" t="s">
        <v>9849</v>
      </c>
      <c r="M212" s="18"/>
      <c r="N212" s="18" t="s">
        <v>10</v>
      </c>
      <c r="O212" s="18" t="s">
        <v>10</v>
      </c>
      <c r="P212" s="18" t="s">
        <v>9850</v>
      </c>
      <c r="Q212" s="18" t="s">
        <v>33</v>
      </c>
      <c r="R212" s="18" t="s">
        <v>9851</v>
      </c>
      <c r="S212" s="1" t="s">
        <v>6242</v>
      </c>
      <c r="T212" s="1">
        <f t="shared" si="10"/>
        <v>4944</v>
      </c>
      <c r="U212" s="1">
        <f t="shared" si="11"/>
        <v>4944</v>
      </c>
      <c r="X212" s="1">
        <f>2789+2155</f>
        <v>4944</v>
      </c>
    </row>
    <row r="213" spans="1:43" x14ac:dyDescent="0.2">
      <c r="A213" s="18" t="s">
        <v>10405</v>
      </c>
      <c r="B213" s="18">
        <v>22688191</v>
      </c>
      <c r="C213" s="18" t="s">
        <v>7421</v>
      </c>
      <c r="D213" s="18"/>
      <c r="E213" s="19">
        <v>61</v>
      </c>
      <c r="F213" s="18"/>
      <c r="G213" s="18" t="s">
        <v>74</v>
      </c>
      <c r="H213" s="18" t="s">
        <v>2545</v>
      </c>
      <c r="I213" s="24">
        <v>41072</v>
      </c>
      <c r="J213" s="18" t="s">
        <v>11</v>
      </c>
      <c r="K213" s="18" t="s">
        <v>71</v>
      </c>
      <c r="L213" s="18" t="s">
        <v>10406</v>
      </c>
      <c r="M213" s="18"/>
      <c r="N213" s="18" t="s">
        <v>10</v>
      </c>
      <c r="O213" s="18" t="s">
        <v>10</v>
      </c>
      <c r="P213" s="18" t="s">
        <v>10407</v>
      </c>
      <c r="Q213" s="18" t="s">
        <v>33</v>
      </c>
      <c r="R213" s="18" t="s">
        <v>10408</v>
      </c>
      <c r="S213" s="1" t="s">
        <v>6243</v>
      </c>
      <c r="T213" s="1">
        <f t="shared" si="10"/>
        <v>2929</v>
      </c>
      <c r="U213" s="1">
        <f t="shared" si="11"/>
        <v>2929</v>
      </c>
      <c r="V213" s="1">
        <f>836+2093</f>
        <v>2929</v>
      </c>
    </row>
    <row r="214" spans="1:43" x14ac:dyDescent="0.2">
      <c r="A214" s="18" t="s">
        <v>8924</v>
      </c>
      <c r="B214" s="18">
        <v>22692066</v>
      </c>
      <c r="C214" s="18" t="s">
        <v>7421</v>
      </c>
      <c r="D214" s="18"/>
      <c r="E214" s="19">
        <v>2752</v>
      </c>
      <c r="F214" s="18">
        <v>1</v>
      </c>
      <c r="G214" s="18" t="s">
        <v>1792</v>
      </c>
      <c r="H214" s="18" t="s">
        <v>7350</v>
      </c>
      <c r="I214" s="24">
        <v>41073</v>
      </c>
      <c r="J214" s="18" t="s">
        <v>10</v>
      </c>
      <c r="K214" s="18" t="s">
        <v>592</v>
      </c>
      <c r="L214" s="18" t="s">
        <v>8925</v>
      </c>
      <c r="M214" s="18"/>
      <c r="N214" s="18" t="s">
        <v>10</v>
      </c>
      <c r="O214" s="18" t="s">
        <v>10</v>
      </c>
      <c r="P214" s="18" t="s">
        <v>8926</v>
      </c>
      <c r="Q214" s="18" t="s">
        <v>8927</v>
      </c>
      <c r="R214" s="18" t="s">
        <v>8928</v>
      </c>
      <c r="S214" s="1" t="s">
        <v>6243</v>
      </c>
      <c r="T214" s="1">
        <f t="shared" si="10"/>
        <v>1715</v>
      </c>
      <c r="U214" s="1">
        <f t="shared" si="11"/>
        <v>322</v>
      </c>
      <c r="V214" s="1">
        <v>322</v>
      </c>
      <c r="AH214" s="1">
        <f>SUM(AI214:AT214)</f>
        <v>1393</v>
      </c>
      <c r="AI214" s="1">
        <v>1393</v>
      </c>
    </row>
    <row r="215" spans="1:43" x14ac:dyDescent="0.2">
      <c r="A215" s="18" t="s">
        <v>45</v>
      </c>
      <c r="B215" s="18">
        <v>22692763</v>
      </c>
      <c r="C215" s="18" t="s">
        <v>7421</v>
      </c>
      <c r="D215" s="18"/>
      <c r="E215" s="19">
        <v>50</v>
      </c>
      <c r="F215" s="18"/>
      <c r="G215" s="18" t="s">
        <v>413</v>
      </c>
      <c r="H215" s="18" t="s">
        <v>7231</v>
      </c>
      <c r="I215" s="24">
        <v>41072</v>
      </c>
      <c r="J215" s="18" t="s">
        <v>11</v>
      </c>
      <c r="K215" s="18" t="s">
        <v>1145</v>
      </c>
      <c r="L215" s="18" t="s">
        <v>8070</v>
      </c>
      <c r="M215" s="18"/>
      <c r="N215" s="18" t="s">
        <v>11</v>
      </c>
      <c r="O215" s="18" t="s">
        <v>10</v>
      </c>
      <c r="P215" s="18" t="s">
        <v>8071</v>
      </c>
      <c r="Q215" s="18" t="s">
        <v>8072</v>
      </c>
      <c r="R215" s="18" t="s">
        <v>8073</v>
      </c>
      <c r="S215" s="1" t="s">
        <v>6244</v>
      </c>
      <c r="T215" s="1">
        <f t="shared" si="10"/>
        <v>50116</v>
      </c>
      <c r="U215" s="1">
        <f t="shared" si="11"/>
        <v>25353</v>
      </c>
      <c r="V215" s="1">
        <f>16297+9056</f>
        <v>25353</v>
      </c>
      <c r="AH215" s="1">
        <f>SUM(AI215:AT215)</f>
        <v>24763</v>
      </c>
      <c r="AQ215" s="1">
        <f>17949+6814</f>
        <v>24763</v>
      </c>
    </row>
    <row r="216" spans="1:43" x14ac:dyDescent="0.2">
      <c r="A216" s="18" t="s">
        <v>1195</v>
      </c>
      <c r="B216" s="18">
        <v>22693232</v>
      </c>
      <c r="C216" s="18" t="s">
        <v>7421</v>
      </c>
      <c r="D216" s="18"/>
      <c r="E216" s="19">
        <v>3</v>
      </c>
      <c r="F216" s="18"/>
      <c r="G216" s="18" t="s">
        <v>10465</v>
      </c>
      <c r="H216" s="18" t="s">
        <v>10913</v>
      </c>
      <c r="I216" s="24">
        <v>41072</v>
      </c>
      <c r="J216" s="18" t="s">
        <v>10</v>
      </c>
      <c r="K216" s="18" t="s">
        <v>657</v>
      </c>
      <c r="L216" s="18" t="s">
        <v>10466</v>
      </c>
      <c r="M216" s="18"/>
      <c r="N216" s="18" t="s">
        <v>10</v>
      </c>
      <c r="O216" s="18" t="s">
        <v>10</v>
      </c>
      <c r="P216" s="18" t="s">
        <v>10467</v>
      </c>
      <c r="Q216" s="18" t="s">
        <v>10468</v>
      </c>
      <c r="R216" s="18" t="s">
        <v>7627</v>
      </c>
      <c r="S216" s="1" t="s">
        <v>6242</v>
      </c>
      <c r="T216" s="1">
        <f t="shared" si="10"/>
        <v>425</v>
      </c>
      <c r="U216" s="1">
        <f t="shared" si="11"/>
        <v>51</v>
      </c>
      <c r="X216" s="1">
        <v>51</v>
      </c>
      <c r="AH216" s="1">
        <f>SUM(AI216:AT216)</f>
        <v>374</v>
      </c>
      <c r="AK216" s="1">
        <v>374</v>
      </c>
    </row>
    <row r="217" spans="1:43" x14ac:dyDescent="0.2">
      <c r="A217" s="18" t="s">
        <v>7504</v>
      </c>
      <c r="B217" s="18">
        <v>22693455</v>
      </c>
      <c r="C217" s="18" t="s">
        <v>7421</v>
      </c>
      <c r="D217" s="18"/>
      <c r="E217" s="19">
        <v>73</v>
      </c>
      <c r="F217" s="18"/>
      <c r="G217" s="18" t="s">
        <v>61</v>
      </c>
      <c r="H217" s="18" t="s">
        <v>7396</v>
      </c>
      <c r="I217" s="24">
        <v>41060</v>
      </c>
      <c r="J217" s="18" t="s">
        <v>11</v>
      </c>
      <c r="K217" s="18" t="s">
        <v>65</v>
      </c>
      <c r="L217" s="18" t="s">
        <v>10759</v>
      </c>
      <c r="M217" s="18"/>
      <c r="N217" s="18" t="s">
        <v>10</v>
      </c>
      <c r="O217" s="18" t="s">
        <v>10</v>
      </c>
      <c r="P217" s="18" t="s">
        <v>10760</v>
      </c>
      <c r="Q217" s="18" t="s">
        <v>10761</v>
      </c>
      <c r="R217" s="18" t="s">
        <v>9084</v>
      </c>
      <c r="S217" s="1" t="s">
        <v>6243</v>
      </c>
      <c r="T217" s="1">
        <f t="shared" si="10"/>
        <v>91187</v>
      </c>
      <c r="U217" s="1">
        <f t="shared" si="11"/>
        <v>60647</v>
      </c>
      <c r="V217" s="1">
        <f>2112+4123+54412</f>
        <v>60647</v>
      </c>
      <c r="AH217" s="1">
        <f>SUM(AI217:AT217)</f>
        <v>30540</v>
      </c>
      <c r="AI217" s="1">
        <f>2881+8702+18957</f>
        <v>30540</v>
      </c>
    </row>
    <row r="218" spans="1:43" x14ac:dyDescent="0.2">
      <c r="A218" s="18" t="s">
        <v>289</v>
      </c>
      <c r="B218" s="18">
        <v>22693459</v>
      </c>
      <c r="C218" s="18" t="s">
        <v>7421</v>
      </c>
      <c r="D218" s="18"/>
      <c r="E218" s="19">
        <v>584</v>
      </c>
      <c r="F218" s="18"/>
      <c r="G218" s="18" t="s">
        <v>7604</v>
      </c>
      <c r="H218" s="18" t="s">
        <v>7605</v>
      </c>
      <c r="I218" s="24">
        <v>41060</v>
      </c>
      <c r="J218" s="18" t="s">
        <v>11</v>
      </c>
      <c r="K218" s="18" t="s">
        <v>65</v>
      </c>
      <c r="L218" s="18" t="s">
        <v>7606</v>
      </c>
      <c r="M218" s="18"/>
      <c r="N218" s="18" t="s">
        <v>10</v>
      </c>
      <c r="O218" s="18" t="s">
        <v>10</v>
      </c>
      <c r="P218" s="18" t="s">
        <v>7607</v>
      </c>
      <c r="Q218" s="18" t="s">
        <v>33</v>
      </c>
      <c r="R218" s="18" t="s">
        <v>7608</v>
      </c>
      <c r="S218" s="1" t="s">
        <v>6243</v>
      </c>
      <c r="T218" s="1">
        <f t="shared" si="10"/>
        <v>12806</v>
      </c>
      <c r="U218" s="1">
        <f t="shared" si="11"/>
        <v>12806</v>
      </c>
      <c r="V218" s="1">
        <f>3891+8915</f>
        <v>12806</v>
      </c>
    </row>
    <row r="219" spans="1:43" x14ac:dyDescent="0.2">
      <c r="A219" s="18" t="s">
        <v>289</v>
      </c>
      <c r="B219" s="18">
        <v>22694930</v>
      </c>
      <c r="C219" s="18" t="s">
        <v>7421</v>
      </c>
      <c r="D219" s="18"/>
      <c r="E219" s="19">
        <v>74</v>
      </c>
      <c r="F219" s="18"/>
      <c r="G219" s="18" t="s">
        <v>799</v>
      </c>
      <c r="H219" s="18" t="s">
        <v>7052</v>
      </c>
      <c r="I219" s="24">
        <v>41071</v>
      </c>
      <c r="J219" s="18" t="s">
        <v>11</v>
      </c>
      <c r="K219" s="18" t="s">
        <v>1169</v>
      </c>
      <c r="L219" s="18" t="s">
        <v>7808</v>
      </c>
      <c r="M219" s="18"/>
      <c r="N219" s="18" t="s">
        <v>10</v>
      </c>
      <c r="O219" s="18" t="s">
        <v>10</v>
      </c>
      <c r="P219" s="18" t="s">
        <v>7809</v>
      </c>
      <c r="Q219" s="18" t="s">
        <v>7810</v>
      </c>
      <c r="R219" s="18" t="s">
        <v>7811</v>
      </c>
      <c r="S219" s="1" t="s">
        <v>6243</v>
      </c>
      <c r="T219" s="1">
        <f t="shared" si="10"/>
        <v>1824</v>
      </c>
      <c r="U219" s="1">
        <f t="shared" si="11"/>
        <v>1824</v>
      </c>
      <c r="V219" s="1">
        <f>813+1011</f>
        <v>1824</v>
      </c>
    </row>
    <row r="220" spans="1:43" x14ac:dyDescent="0.2">
      <c r="A220" s="18" t="s">
        <v>7515</v>
      </c>
      <c r="B220" s="18">
        <v>22694956</v>
      </c>
      <c r="C220" s="18" t="s">
        <v>7421</v>
      </c>
      <c r="D220" s="18"/>
      <c r="E220" s="19">
        <v>43</v>
      </c>
      <c r="F220" s="18"/>
      <c r="G220" s="18" t="s">
        <v>15</v>
      </c>
      <c r="H220" s="18" t="s">
        <v>7143</v>
      </c>
      <c r="I220" s="24">
        <v>41073</v>
      </c>
      <c r="J220" s="18" t="s">
        <v>11</v>
      </c>
      <c r="K220" s="18" t="s">
        <v>103</v>
      </c>
      <c r="L220" s="18" t="s">
        <v>7516</v>
      </c>
      <c r="M220" s="18"/>
      <c r="N220" s="18" t="s">
        <v>10</v>
      </c>
      <c r="O220" s="18" t="s">
        <v>10</v>
      </c>
      <c r="P220" s="18" t="s">
        <v>7517</v>
      </c>
      <c r="Q220" s="18" t="s">
        <v>7518</v>
      </c>
      <c r="R220" s="18" t="s">
        <v>7519</v>
      </c>
      <c r="S220" s="1" t="s">
        <v>6243</v>
      </c>
      <c r="T220" s="1">
        <f t="shared" si="10"/>
        <v>5934</v>
      </c>
      <c r="U220" s="1">
        <f t="shared" si="11"/>
        <v>3092</v>
      </c>
      <c r="V220" s="1">
        <f>893+2199</f>
        <v>3092</v>
      </c>
      <c r="AH220" s="1">
        <f>SUM(AI220:AT220)</f>
        <v>2842</v>
      </c>
      <c r="AI220" s="1">
        <f>1411+1431</f>
        <v>2842</v>
      </c>
    </row>
    <row r="221" spans="1:43" x14ac:dyDescent="0.2">
      <c r="A221" s="18" t="s">
        <v>3415</v>
      </c>
      <c r="B221" s="18">
        <v>22696150</v>
      </c>
      <c r="C221" s="18" t="s">
        <v>7421</v>
      </c>
      <c r="D221" s="18"/>
      <c r="E221" s="19">
        <v>11</v>
      </c>
      <c r="F221" s="18"/>
      <c r="G221" s="18" t="s">
        <v>9897</v>
      </c>
      <c r="H221" s="18" t="s">
        <v>9898</v>
      </c>
      <c r="I221" s="24">
        <v>41073</v>
      </c>
      <c r="J221" s="18" t="s">
        <v>10</v>
      </c>
      <c r="K221" s="18" t="s">
        <v>595</v>
      </c>
      <c r="L221" s="18" t="s">
        <v>9899</v>
      </c>
      <c r="M221" s="18"/>
      <c r="N221" s="18" t="s">
        <v>11</v>
      </c>
      <c r="O221" s="18" t="s">
        <v>11</v>
      </c>
      <c r="P221" s="18" t="s">
        <v>9900</v>
      </c>
      <c r="Q221" s="18" t="s">
        <v>33</v>
      </c>
      <c r="R221" s="18" t="s">
        <v>10234</v>
      </c>
      <c r="S221" s="1" t="s">
        <v>6244</v>
      </c>
      <c r="T221" s="1">
        <f t="shared" si="10"/>
        <v>452</v>
      </c>
      <c r="U221" s="1">
        <f t="shared" si="11"/>
        <v>452</v>
      </c>
      <c r="V221" s="1">
        <v>249</v>
      </c>
      <c r="W221" s="1">
        <v>203</v>
      </c>
    </row>
    <row r="222" spans="1:43" x14ac:dyDescent="0.2">
      <c r="A222" s="18" t="s">
        <v>9987</v>
      </c>
      <c r="B222" s="18">
        <v>22699663</v>
      </c>
      <c r="C222" s="18" t="s">
        <v>7421</v>
      </c>
      <c r="D222" s="18"/>
      <c r="E222" s="19">
        <v>17</v>
      </c>
      <c r="F222" s="18"/>
      <c r="G222" s="18" t="s">
        <v>9988</v>
      </c>
      <c r="H222" s="18" t="s">
        <v>9989</v>
      </c>
      <c r="I222" s="24">
        <v>41832</v>
      </c>
      <c r="J222" s="18" t="s">
        <v>11</v>
      </c>
      <c r="K222" s="18" t="s">
        <v>3117</v>
      </c>
      <c r="L222" s="18" t="s">
        <v>9990</v>
      </c>
      <c r="M222" s="18"/>
      <c r="N222" s="18" t="s">
        <v>10</v>
      </c>
      <c r="O222" s="18" t="s">
        <v>10</v>
      </c>
      <c r="P222" s="18" t="s">
        <v>9991</v>
      </c>
      <c r="Q222" s="18" t="s">
        <v>33</v>
      </c>
      <c r="R222" s="18" t="s">
        <v>739</v>
      </c>
      <c r="S222" s="1" t="s">
        <v>6243</v>
      </c>
      <c r="T222" s="1">
        <f t="shared" si="10"/>
        <v>1020</v>
      </c>
      <c r="U222" s="1">
        <f t="shared" si="11"/>
        <v>1020</v>
      </c>
      <c r="V222" s="1">
        <v>1020</v>
      </c>
    </row>
    <row r="223" spans="1:43" x14ac:dyDescent="0.2">
      <c r="A223" s="18" t="s">
        <v>1985</v>
      </c>
      <c r="B223" s="18">
        <v>22700719</v>
      </c>
      <c r="C223" s="18" t="s">
        <v>7421</v>
      </c>
      <c r="D223" s="18"/>
      <c r="E223" s="19">
        <v>15</v>
      </c>
      <c r="F223" s="18"/>
      <c r="G223" s="18" t="s">
        <v>6790</v>
      </c>
      <c r="H223" s="18" t="s">
        <v>6672</v>
      </c>
      <c r="I223" s="24">
        <v>41073</v>
      </c>
      <c r="J223" s="18" t="s">
        <v>11</v>
      </c>
      <c r="K223" s="18" t="s">
        <v>455</v>
      </c>
      <c r="L223" s="18" t="s">
        <v>9370</v>
      </c>
      <c r="M223" s="18"/>
      <c r="N223" s="18" t="s">
        <v>10</v>
      </c>
      <c r="O223" s="18" t="s">
        <v>10</v>
      </c>
      <c r="P223" s="18" t="s">
        <v>9371</v>
      </c>
      <c r="Q223" s="18" t="s">
        <v>9372</v>
      </c>
      <c r="R223" s="18" t="s">
        <v>9373</v>
      </c>
      <c r="S223" s="1" t="s">
        <v>6243</v>
      </c>
      <c r="T223" s="1">
        <f t="shared" si="10"/>
        <v>7760</v>
      </c>
      <c r="U223" s="1">
        <f t="shared" si="11"/>
        <v>4866</v>
      </c>
      <c r="V223" s="1">
        <f>1121+3745</f>
        <v>4866</v>
      </c>
      <c r="AH223" s="1">
        <f>SUM(AI223:AT223)</f>
        <v>2894</v>
      </c>
      <c r="AI223" s="1">
        <f>861+2033</f>
        <v>2894</v>
      </c>
    </row>
    <row r="224" spans="1:43" x14ac:dyDescent="0.2">
      <c r="A224" s="18" t="s">
        <v>8811</v>
      </c>
      <c r="B224" s="18">
        <v>22701019</v>
      </c>
      <c r="C224" s="18" t="s">
        <v>7421</v>
      </c>
      <c r="D224" s="18"/>
      <c r="E224" s="19">
        <v>9</v>
      </c>
      <c r="F224" s="18"/>
      <c r="G224" s="18" t="s">
        <v>8812</v>
      </c>
      <c r="H224" s="18" t="s">
        <v>8813</v>
      </c>
      <c r="I224" s="24">
        <v>41074</v>
      </c>
      <c r="J224" s="18" t="s">
        <v>11</v>
      </c>
      <c r="K224" s="18" t="s">
        <v>529</v>
      </c>
      <c r="L224" s="18" t="s">
        <v>8814</v>
      </c>
      <c r="M224" s="18"/>
      <c r="N224" s="18" t="s">
        <v>10</v>
      </c>
      <c r="O224" s="18" t="s">
        <v>10</v>
      </c>
      <c r="P224" s="18" t="s">
        <v>8815</v>
      </c>
      <c r="Q224" s="18" t="s">
        <v>8816</v>
      </c>
      <c r="R224" s="18" t="s">
        <v>8278</v>
      </c>
      <c r="S224" s="1" t="s">
        <v>6243</v>
      </c>
      <c r="T224" s="1">
        <f t="shared" si="10"/>
        <v>997</v>
      </c>
      <c r="U224" s="1">
        <f t="shared" si="11"/>
        <v>339</v>
      </c>
      <c r="V224" s="1">
        <v>339</v>
      </c>
      <c r="AH224" s="1">
        <f>SUM(AI224:AT224)</f>
        <v>658</v>
      </c>
      <c r="AI224" s="1">
        <v>658</v>
      </c>
    </row>
    <row r="225" spans="1:47" x14ac:dyDescent="0.2">
      <c r="A225" s="18" t="s">
        <v>1765</v>
      </c>
      <c r="B225" s="18">
        <v>22703881</v>
      </c>
      <c r="C225" s="18" t="s">
        <v>7421</v>
      </c>
      <c r="D225" s="18"/>
      <c r="E225" s="19">
        <v>477</v>
      </c>
      <c r="F225" s="18"/>
      <c r="G225" s="18" t="s">
        <v>7434</v>
      </c>
      <c r="H225" s="18" t="s">
        <v>7198</v>
      </c>
      <c r="I225" s="24">
        <v>41074</v>
      </c>
      <c r="J225" s="18" t="s">
        <v>11</v>
      </c>
      <c r="K225" s="18" t="s">
        <v>16</v>
      </c>
      <c r="L225" s="18" t="s">
        <v>7435</v>
      </c>
      <c r="M225" s="18"/>
      <c r="N225" s="18" t="s">
        <v>10</v>
      </c>
      <c r="O225" s="18" t="s">
        <v>10</v>
      </c>
      <c r="P225" s="18" t="s">
        <v>7436</v>
      </c>
      <c r="Q225" s="18" t="s">
        <v>7437</v>
      </c>
      <c r="R225" s="18" t="s">
        <v>868</v>
      </c>
      <c r="S225" s="1" t="s">
        <v>6243</v>
      </c>
      <c r="T225" s="1">
        <f t="shared" si="10"/>
        <v>11851</v>
      </c>
      <c r="U225" s="1">
        <f t="shared" si="11"/>
        <v>9240</v>
      </c>
      <c r="V225" s="1">
        <v>9240</v>
      </c>
      <c r="AH225" s="1">
        <f>SUM(AI225:AT225)</f>
        <v>2611</v>
      </c>
      <c r="AI225" s="1">
        <v>2611</v>
      </c>
    </row>
    <row r="226" spans="1:47" x14ac:dyDescent="0.2">
      <c r="A226" s="18" t="s">
        <v>8761</v>
      </c>
      <c r="B226" s="18">
        <v>22704111</v>
      </c>
      <c r="C226" s="18" t="s">
        <v>7421</v>
      </c>
      <c r="D226" s="18"/>
      <c r="E226" s="19">
        <v>28</v>
      </c>
      <c r="F226" s="18"/>
      <c r="G226" s="18" t="s">
        <v>8762</v>
      </c>
      <c r="H226" s="18" t="s">
        <v>8763</v>
      </c>
      <c r="I226" s="24">
        <v>41073</v>
      </c>
      <c r="J226" s="18" t="s">
        <v>11</v>
      </c>
      <c r="K226" s="18" t="s">
        <v>8764</v>
      </c>
      <c r="L226" s="18" t="s">
        <v>8765</v>
      </c>
      <c r="M226" s="18"/>
      <c r="N226" s="18" t="s">
        <v>11</v>
      </c>
      <c r="O226" s="18" t="s">
        <v>11</v>
      </c>
      <c r="P226" s="18" t="s">
        <v>8766</v>
      </c>
      <c r="Q226" s="18" t="s">
        <v>33</v>
      </c>
      <c r="R226" s="18" t="s">
        <v>8767</v>
      </c>
      <c r="S226" s="1" t="s">
        <v>6243</v>
      </c>
      <c r="T226" s="1">
        <f t="shared" si="10"/>
        <v>528</v>
      </c>
      <c r="U226" s="1">
        <f t="shared" si="11"/>
        <v>528</v>
      </c>
      <c r="V226" s="1">
        <f>125+403</f>
        <v>528</v>
      </c>
    </row>
    <row r="227" spans="1:47" x14ac:dyDescent="0.2">
      <c r="A227" s="18" t="s">
        <v>10719</v>
      </c>
      <c r="B227" s="18">
        <v>22704677</v>
      </c>
      <c r="C227" s="18" t="s">
        <v>7421</v>
      </c>
      <c r="D227" s="18"/>
      <c r="E227" s="19">
        <v>21</v>
      </c>
      <c r="F227" s="18"/>
      <c r="G227" s="18" t="s">
        <v>10720</v>
      </c>
      <c r="H227" s="18" t="s">
        <v>10721</v>
      </c>
      <c r="I227" s="24">
        <v>41056</v>
      </c>
      <c r="J227" s="18" t="s">
        <v>10</v>
      </c>
      <c r="K227" s="18" t="s">
        <v>10722</v>
      </c>
      <c r="L227" s="18" t="s">
        <v>10723</v>
      </c>
      <c r="M227" s="18"/>
      <c r="N227" s="18" t="s">
        <v>10</v>
      </c>
      <c r="O227" s="18" t="s">
        <v>10</v>
      </c>
      <c r="P227" s="18" t="s">
        <v>10724</v>
      </c>
      <c r="Q227" s="18" t="s">
        <v>10725</v>
      </c>
      <c r="R227" s="18" t="s">
        <v>10924</v>
      </c>
      <c r="S227" s="1" t="s">
        <v>6244</v>
      </c>
      <c r="T227" s="1">
        <f t="shared" si="10"/>
        <v>155</v>
      </c>
      <c r="U227" s="1">
        <f t="shared" si="11"/>
        <v>40</v>
      </c>
      <c r="W227" s="1">
        <v>40</v>
      </c>
      <c r="AH227" s="1">
        <f>SUM(AI227:AT227)</f>
        <v>115</v>
      </c>
      <c r="AQ227" s="1">
        <v>115</v>
      </c>
    </row>
    <row r="228" spans="1:47" x14ac:dyDescent="0.2">
      <c r="A228" s="18" t="s">
        <v>7476</v>
      </c>
      <c r="B228" s="18">
        <v>22705344</v>
      </c>
      <c r="C228" s="18" t="s">
        <v>7421</v>
      </c>
      <c r="D228" s="18"/>
      <c r="E228" s="19">
        <v>42</v>
      </c>
      <c r="F228" s="18"/>
      <c r="G228" s="18" t="s">
        <v>7477</v>
      </c>
      <c r="H228" s="18" t="s">
        <v>7143</v>
      </c>
      <c r="I228" s="24">
        <v>41075</v>
      </c>
      <c r="J228" s="18" t="s">
        <v>11</v>
      </c>
      <c r="K228" s="18" t="s">
        <v>1410</v>
      </c>
      <c r="L228" s="18" t="s">
        <v>7478</v>
      </c>
      <c r="M228" s="18"/>
      <c r="N228" s="18" t="s">
        <v>10</v>
      </c>
      <c r="O228" s="18" t="s">
        <v>10</v>
      </c>
      <c r="P228" s="18" t="s">
        <v>7479</v>
      </c>
      <c r="Q228" s="18" t="s">
        <v>7480</v>
      </c>
      <c r="R228" s="18" t="s">
        <v>7481</v>
      </c>
      <c r="S228" s="1" t="s">
        <v>6243</v>
      </c>
      <c r="T228" s="1">
        <f t="shared" si="10"/>
        <v>7977</v>
      </c>
      <c r="U228" s="1">
        <f t="shared" si="11"/>
        <v>2594</v>
      </c>
      <c r="V228" s="1">
        <f>1775+819</f>
        <v>2594</v>
      </c>
      <c r="AH228" s="1">
        <f>SUM(AI228:AT228)</f>
        <v>5383</v>
      </c>
      <c r="AI228" s="1">
        <f>4515+868</f>
        <v>5383</v>
      </c>
    </row>
    <row r="229" spans="1:47" x14ac:dyDescent="0.2">
      <c r="A229" s="18" t="s">
        <v>9795</v>
      </c>
      <c r="B229" s="18">
        <v>22719876</v>
      </c>
      <c r="C229" s="18" t="s">
        <v>7421</v>
      </c>
      <c r="D229" s="18"/>
      <c r="E229" s="19">
        <v>50</v>
      </c>
      <c r="F229" s="18"/>
      <c r="G229" s="18" t="s">
        <v>6635</v>
      </c>
      <c r="H229" s="18" t="s">
        <v>1641</v>
      </c>
      <c r="I229" s="24">
        <v>41074</v>
      </c>
      <c r="J229" s="18" t="s">
        <v>11</v>
      </c>
      <c r="K229" s="18" t="s">
        <v>181</v>
      </c>
      <c r="L229" s="18" t="s">
        <v>9796</v>
      </c>
      <c r="M229" s="18"/>
      <c r="N229" s="18" t="s">
        <v>10</v>
      </c>
      <c r="O229" s="18" t="s">
        <v>10</v>
      </c>
      <c r="P229" s="18" t="s">
        <v>9797</v>
      </c>
      <c r="Q229" s="18" t="s">
        <v>33</v>
      </c>
      <c r="R229" s="18" t="s">
        <v>9798</v>
      </c>
      <c r="S229" s="1" t="s">
        <v>6242</v>
      </c>
      <c r="T229" s="1">
        <f t="shared" si="10"/>
        <v>1461</v>
      </c>
      <c r="U229" s="1">
        <f t="shared" si="11"/>
        <v>1461</v>
      </c>
      <c r="X229" s="1">
        <v>1461</v>
      </c>
    </row>
    <row r="230" spans="1:47" x14ac:dyDescent="0.2">
      <c r="A230" s="18" t="s">
        <v>8384</v>
      </c>
      <c r="B230" s="18">
        <v>22721967</v>
      </c>
      <c r="C230" s="18" t="s">
        <v>7421</v>
      </c>
      <c r="D230" s="18"/>
      <c r="E230" s="19">
        <v>112</v>
      </c>
      <c r="F230" s="18"/>
      <c r="G230" s="18" t="s">
        <v>6876</v>
      </c>
      <c r="H230" s="18" t="s">
        <v>7377</v>
      </c>
      <c r="I230" s="24">
        <v>41863</v>
      </c>
      <c r="J230" s="18" t="s">
        <v>10</v>
      </c>
      <c r="K230" s="18" t="s">
        <v>90</v>
      </c>
      <c r="L230" s="18" t="s">
        <v>9726</v>
      </c>
      <c r="M230" s="18"/>
      <c r="N230" s="18" t="s">
        <v>10</v>
      </c>
      <c r="O230" s="18" t="s">
        <v>10</v>
      </c>
      <c r="P230" s="18" t="s">
        <v>9727</v>
      </c>
      <c r="Q230" s="18" t="s">
        <v>33</v>
      </c>
      <c r="R230" s="18" t="s">
        <v>9728</v>
      </c>
      <c r="S230" s="1" t="s">
        <v>6243</v>
      </c>
      <c r="T230" s="1">
        <f t="shared" si="10"/>
        <v>6362</v>
      </c>
      <c r="U230" s="1">
        <f t="shared" si="11"/>
        <v>6362</v>
      </c>
      <c r="V230" s="1">
        <f>2963+3399</f>
        <v>6362</v>
      </c>
    </row>
    <row r="231" spans="1:47" x14ac:dyDescent="0.2">
      <c r="A231" s="18" t="s">
        <v>2189</v>
      </c>
      <c r="B231" s="18">
        <v>22723713</v>
      </c>
      <c r="C231" s="18" t="s">
        <v>7421</v>
      </c>
      <c r="D231" s="18"/>
      <c r="E231" s="19">
        <v>24</v>
      </c>
      <c r="F231" s="18"/>
      <c r="G231" s="18" t="s">
        <v>8123</v>
      </c>
      <c r="H231" s="18" t="s">
        <v>8124</v>
      </c>
      <c r="I231" s="24">
        <v>41080</v>
      </c>
      <c r="J231" s="18" t="s">
        <v>10</v>
      </c>
      <c r="K231" s="18" t="s">
        <v>8125</v>
      </c>
      <c r="L231" s="18" t="s">
        <v>8126</v>
      </c>
      <c r="M231" s="18"/>
      <c r="N231" s="18" t="s">
        <v>10</v>
      </c>
      <c r="O231" s="18" t="s">
        <v>10</v>
      </c>
      <c r="P231" s="18" t="s">
        <v>8127</v>
      </c>
      <c r="Q231" s="18" t="s">
        <v>33</v>
      </c>
      <c r="R231" s="18" t="s">
        <v>8128</v>
      </c>
      <c r="S231" s="1" t="s">
        <v>6248</v>
      </c>
      <c r="T231" s="1">
        <f t="shared" si="10"/>
        <v>472</v>
      </c>
      <c r="U231" s="1">
        <f t="shared" si="11"/>
        <v>472</v>
      </c>
      <c r="AE231" s="1">
        <v>472</v>
      </c>
    </row>
    <row r="232" spans="1:47" x14ac:dyDescent="0.2">
      <c r="A232" s="18" t="s">
        <v>1135</v>
      </c>
      <c r="B232" s="18">
        <v>22726844</v>
      </c>
      <c r="C232" s="18" t="s">
        <v>7421</v>
      </c>
      <c r="D232" s="18"/>
      <c r="E232" s="19">
        <v>24</v>
      </c>
      <c r="F232" s="18"/>
      <c r="G232" s="18" t="s">
        <v>6757</v>
      </c>
      <c r="H232" s="18" t="s">
        <v>7252</v>
      </c>
      <c r="I232" s="24">
        <v>41103</v>
      </c>
      <c r="J232" s="18" t="s">
        <v>11</v>
      </c>
      <c r="K232" s="18" t="s">
        <v>16</v>
      </c>
      <c r="L232" s="18" t="s">
        <v>8697</v>
      </c>
      <c r="M232" s="18"/>
      <c r="N232" s="18" t="s">
        <v>10</v>
      </c>
      <c r="O232" s="18" t="s">
        <v>10</v>
      </c>
      <c r="P232" s="18" t="s">
        <v>8698</v>
      </c>
      <c r="Q232" s="18" t="s">
        <v>8699</v>
      </c>
      <c r="R232" s="18" t="s">
        <v>8700</v>
      </c>
      <c r="S232" s="1" t="s">
        <v>6242</v>
      </c>
      <c r="T232" s="1">
        <f t="shared" si="10"/>
        <v>14178</v>
      </c>
      <c r="U232" s="1">
        <f t="shared" si="11"/>
        <v>6805</v>
      </c>
      <c r="X232" s="1">
        <v>6805</v>
      </c>
      <c r="AH232" s="1">
        <f>SUM(AI232:AT232)</f>
        <v>7373</v>
      </c>
      <c r="AK232" s="1">
        <v>7373</v>
      </c>
    </row>
    <row r="233" spans="1:47" s="3" customFormat="1" x14ac:dyDescent="0.2">
      <c r="A233" s="18" t="s">
        <v>9112</v>
      </c>
      <c r="B233" s="18">
        <v>22737229</v>
      </c>
      <c r="C233" s="18" t="s">
        <v>7421</v>
      </c>
      <c r="D233" s="18"/>
      <c r="E233" s="19">
        <v>30</v>
      </c>
      <c r="F233" s="18"/>
      <c r="G233" s="18" t="s">
        <v>9113</v>
      </c>
      <c r="H233" s="18" t="s">
        <v>9114</v>
      </c>
      <c r="I233" s="24">
        <v>41081</v>
      </c>
      <c r="J233" s="18" t="s">
        <v>11</v>
      </c>
      <c r="K233" s="18" t="s">
        <v>181</v>
      </c>
      <c r="L233" s="18" t="s">
        <v>9115</v>
      </c>
      <c r="M233" s="18"/>
      <c r="N233" s="18" t="s">
        <v>10</v>
      </c>
      <c r="O233" s="18" t="s">
        <v>10</v>
      </c>
      <c r="P233" s="18" t="s">
        <v>9116</v>
      </c>
      <c r="Q233" s="18" t="s">
        <v>9117</v>
      </c>
      <c r="R233" s="18" t="s">
        <v>9118</v>
      </c>
      <c r="S233" s="1" t="s">
        <v>6242</v>
      </c>
      <c r="T233" s="1">
        <f t="shared" si="10"/>
        <v>1793</v>
      </c>
      <c r="U233" s="1">
        <f t="shared" si="11"/>
        <v>550</v>
      </c>
      <c r="V233" s="1"/>
      <c r="W233" s="1"/>
      <c r="X233" s="1">
        <v>550</v>
      </c>
      <c r="Y233" s="1"/>
      <c r="Z233" s="1"/>
      <c r="AA233" s="1"/>
      <c r="AB233" s="1"/>
      <c r="AC233" s="1"/>
      <c r="AD233" s="1"/>
      <c r="AE233" s="1"/>
      <c r="AF233" s="1"/>
      <c r="AG233" s="1"/>
      <c r="AH233" s="1">
        <f>SUM(AI233:AT233)</f>
        <v>1243</v>
      </c>
      <c r="AI233" s="1"/>
      <c r="AJ233" s="1"/>
      <c r="AK233" s="1">
        <v>1243</v>
      </c>
      <c r="AL233" s="1"/>
      <c r="AM233" s="1"/>
      <c r="AN233" s="1"/>
      <c r="AO233" s="1"/>
      <c r="AP233" s="1"/>
      <c r="AQ233" s="1"/>
      <c r="AR233" s="1"/>
      <c r="AS233" s="1"/>
      <c r="AT233" s="1"/>
      <c r="AU233" s="1"/>
    </row>
    <row r="234" spans="1:47" x14ac:dyDescent="0.2">
      <c r="A234" s="18" t="s">
        <v>7468</v>
      </c>
      <c r="B234" s="18">
        <v>22739583</v>
      </c>
      <c r="C234" s="18" t="s">
        <v>7421</v>
      </c>
      <c r="D234" s="18"/>
      <c r="E234" s="19">
        <v>47</v>
      </c>
      <c r="F234" s="18"/>
      <c r="G234" s="18" t="s">
        <v>900</v>
      </c>
      <c r="H234" s="18" t="s">
        <v>7205</v>
      </c>
      <c r="I234" s="24">
        <v>41088</v>
      </c>
      <c r="J234" s="18" t="s">
        <v>11</v>
      </c>
      <c r="K234" s="18" t="s">
        <v>686</v>
      </c>
      <c r="L234" s="18" t="s">
        <v>7469</v>
      </c>
      <c r="M234" s="18"/>
      <c r="N234" s="18" t="s">
        <v>10</v>
      </c>
      <c r="O234" s="18" t="s">
        <v>10</v>
      </c>
      <c r="P234" s="18" t="s">
        <v>7470</v>
      </c>
      <c r="Q234" s="18" t="s">
        <v>33</v>
      </c>
      <c r="R234" s="18" t="s">
        <v>7471</v>
      </c>
      <c r="S234" s="1" t="s">
        <v>6244</v>
      </c>
      <c r="T234" s="1">
        <f t="shared" si="10"/>
        <v>928</v>
      </c>
      <c r="U234" s="1">
        <f t="shared" si="11"/>
        <v>928</v>
      </c>
      <c r="AD234" s="1">
        <v>928</v>
      </c>
    </row>
    <row r="235" spans="1:47" x14ac:dyDescent="0.2">
      <c r="A235" s="18" t="s">
        <v>9349</v>
      </c>
      <c r="B235" s="18">
        <v>22744181</v>
      </c>
      <c r="C235" s="18" t="s">
        <v>7421</v>
      </c>
      <c r="D235" s="18"/>
      <c r="E235" s="19">
        <v>3</v>
      </c>
      <c r="F235" s="18"/>
      <c r="G235" s="18" t="s">
        <v>9350</v>
      </c>
      <c r="H235" s="18" t="s">
        <v>9351</v>
      </c>
      <c r="I235" s="24">
        <v>41089</v>
      </c>
      <c r="J235" s="18" t="s">
        <v>11</v>
      </c>
      <c r="K235" s="18" t="s">
        <v>1897</v>
      </c>
      <c r="L235" s="18" t="s">
        <v>9352</v>
      </c>
      <c r="M235" s="18"/>
      <c r="N235" s="18" t="s">
        <v>11</v>
      </c>
      <c r="O235" s="18" t="s">
        <v>11</v>
      </c>
      <c r="P235" s="18" t="s">
        <v>9353</v>
      </c>
      <c r="Q235" s="18" t="s">
        <v>9354</v>
      </c>
      <c r="R235" s="18" t="s">
        <v>9355</v>
      </c>
      <c r="S235" s="1" t="s">
        <v>6244</v>
      </c>
      <c r="T235" s="1">
        <f t="shared" si="10"/>
        <v>2493</v>
      </c>
      <c r="U235" s="1">
        <f t="shared" si="11"/>
        <v>801</v>
      </c>
      <c r="X235" s="1">
        <v>801</v>
      </c>
      <c r="AH235" s="1">
        <f>SUM(AI235:AT235)</f>
        <v>1692</v>
      </c>
      <c r="AI235" s="1">
        <v>1692</v>
      </c>
    </row>
    <row r="236" spans="1:47" x14ac:dyDescent="0.2">
      <c r="A236" s="18" t="s">
        <v>9141</v>
      </c>
      <c r="B236" s="18">
        <v>22745009</v>
      </c>
      <c r="C236" s="18" t="s">
        <v>7421</v>
      </c>
      <c r="D236" s="18"/>
      <c r="E236" s="19">
        <v>139</v>
      </c>
      <c r="F236" s="18"/>
      <c r="G236" s="18" t="s">
        <v>9142</v>
      </c>
      <c r="H236" s="18" t="s">
        <v>9143</v>
      </c>
      <c r="I236" s="24">
        <v>41088</v>
      </c>
      <c r="J236" s="18" t="s">
        <v>11</v>
      </c>
      <c r="K236" s="18" t="s">
        <v>549</v>
      </c>
      <c r="L236" s="18" t="s">
        <v>9144</v>
      </c>
      <c r="M236" s="18"/>
      <c r="N236" s="18" t="s">
        <v>10</v>
      </c>
      <c r="O236" s="18" t="s">
        <v>10</v>
      </c>
      <c r="P236" s="18" t="s">
        <v>9145</v>
      </c>
      <c r="Q236" s="18" t="s">
        <v>33</v>
      </c>
      <c r="R236" s="18" t="s">
        <v>9146</v>
      </c>
      <c r="S236" s="1" t="s">
        <v>6244</v>
      </c>
      <c r="T236" s="1">
        <f t="shared" si="10"/>
        <v>2102</v>
      </c>
      <c r="U236" s="1">
        <f t="shared" si="11"/>
        <v>2102</v>
      </c>
      <c r="V236" s="1">
        <v>991</v>
      </c>
      <c r="W236" s="1">
        <v>419</v>
      </c>
      <c r="AD236" s="1">
        <v>692</v>
      </c>
    </row>
    <row r="237" spans="1:47" x14ac:dyDescent="0.2">
      <c r="A237" s="18" t="s">
        <v>8527</v>
      </c>
      <c r="B237" s="18">
        <v>22745674</v>
      </c>
      <c r="C237" s="18" t="s">
        <v>7421</v>
      </c>
      <c r="D237" s="18"/>
      <c r="E237" s="19">
        <v>56</v>
      </c>
      <c r="F237" s="18"/>
      <c r="G237" s="18" t="s">
        <v>8528</v>
      </c>
      <c r="H237" s="18" t="s">
        <v>8529</v>
      </c>
      <c r="I237" s="24">
        <v>41080</v>
      </c>
      <c r="J237" s="18" t="s">
        <v>11</v>
      </c>
      <c r="K237" s="18" t="s">
        <v>181</v>
      </c>
      <c r="L237" s="18" t="s">
        <v>8530</v>
      </c>
      <c r="M237" s="18"/>
      <c r="N237" s="18" t="s">
        <v>10</v>
      </c>
      <c r="O237" s="18" t="s">
        <v>10</v>
      </c>
      <c r="P237" s="18" t="s">
        <v>8531</v>
      </c>
      <c r="Q237" s="18" t="s">
        <v>8532</v>
      </c>
      <c r="R237" s="18" t="s">
        <v>8533</v>
      </c>
      <c r="S237" s="1" t="s">
        <v>6434</v>
      </c>
      <c r="T237" s="1">
        <f t="shared" si="10"/>
        <v>4496</v>
      </c>
      <c r="U237" s="1">
        <f t="shared" si="11"/>
        <v>1949</v>
      </c>
      <c r="AC237" s="1">
        <v>1949</v>
      </c>
      <c r="AH237" s="1">
        <f>SUM(AI237:AT237)</f>
        <v>2547</v>
      </c>
      <c r="AP237" s="1">
        <v>2547</v>
      </c>
    </row>
    <row r="238" spans="1:47" x14ac:dyDescent="0.2">
      <c r="A238" s="18" t="s">
        <v>8234</v>
      </c>
      <c r="B238" s="18">
        <v>22747683</v>
      </c>
      <c r="C238" s="18" t="s">
        <v>7421</v>
      </c>
      <c r="D238" s="18"/>
      <c r="E238" s="19">
        <v>2081</v>
      </c>
      <c r="F238" s="18"/>
      <c r="G238" s="18" t="s">
        <v>8235</v>
      </c>
      <c r="H238" s="18" t="s">
        <v>8236</v>
      </c>
      <c r="I238" s="24">
        <v>41090</v>
      </c>
      <c r="J238" s="18" t="s">
        <v>11</v>
      </c>
      <c r="K238" s="18" t="s">
        <v>220</v>
      </c>
      <c r="L238" s="18" t="s">
        <v>8237</v>
      </c>
      <c r="M238" s="18"/>
      <c r="N238" s="18" t="s">
        <v>11</v>
      </c>
      <c r="O238" s="18" t="s">
        <v>11</v>
      </c>
      <c r="P238" s="18" t="s">
        <v>8238</v>
      </c>
      <c r="Q238" s="18" t="s">
        <v>33</v>
      </c>
      <c r="R238" s="18" t="s">
        <v>8239</v>
      </c>
      <c r="S238" s="1" t="s">
        <v>6243</v>
      </c>
      <c r="T238" s="1">
        <f t="shared" si="10"/>
        <v>16175</v>
      </c>
      <c r="U238" s="1">
        <f t="shared" si="11"/>
        <v>16175</v>
      </c>
      <c r="V238" s="1">
        <v>16175</v>
      </c>
    </row>
    <row r="239" spans="1:47" x14ac:dyDescent="0.2">
      <c r="A239" s="18" t="s">
        <v>1211</v>
      </c>
      <c r="B239" s="18">
        <v>22748001</v>
      </c>
      <c r="C239" s="18" t="s">
        <v>7421</v>
      </c>
      <c r="D239" s="18"/>
      <c r="E239" s="19">
        <v>4</v>
      </c>
      <c r="F239" s="18"/>
      <c r="G239" s="18" t="s">
        <v>10081</v>
      </c>
      <c r="H239" s="18" t="s">
        <v>10082</v>
      </c>
      <c r="I239" s="24">
        <v>41089</v>
      </c>
      <c r="J239" s="18" t="s">
        <v>10</v>
      </c>
      <c r="K239" s="18" t="s">
        <v>10083</v>
      </c>
      <c r="L239" s="18" t="s">
        <v>10084</v>
      </c>
      <c r="M239" s="18"/>
      <c r="N239" s="18" t="s">
        <v>11</v>
      </c>
      <c r="O239" s="18" t="s">
        <v>11</v>
      </c>
      <c r="P239" s="18" t="s">
        <v>10085</v>
      </c>
      <c r="Q239" s="18" t="s">
        <v>33</v>
      </c>
      <c r="R239" s="18" t="s">
        <v>10086</v>
      </c>
      <c r="S239" s="1" t="s">
        <v>6243</v>
      </c>
      <c r="T239" s="1">
        <f t="shared" si="10"/>
        <v>293</v>
      </c>
      <c r="U239" s="1">
        <f t="shared" si="11"/>
        <v>293</v>
      </c>
      <c r="V239" s="1">
        <v>293</v>
      </c>
    </row>
    <row r="240" spans="1:47" x14ac:dyDescent="0.2">
      <c r="A240" s="18" t="s">
        <v>1504</v>
      </c>
      <c r="B240" s="18">
        <v>22751097</v>
      </c>
      <c r="C240" s="18" t="s">
        <v>7421</v>
      </c>
      <c r="D240" s="18"/>
      <c r="E240" s="19">
        <v>127</v>
      </c>
      <c r="F240" s="18"/>
      <c r="G240" s="18" t="s">
        <v>165</v>
      </c>
      <c r="H240" s="18" t="s">
        <v>7192</v>
      </c>
      <c r="I240" s="24">
        <v>41091</v>
      </c>
      <c r="J240" s="18" t="s">
        <v>11</v>
      </c>
      <c r="K240" s="18" t="s">
        <v>28</v>
      </c>
      <c r="L240" s="18" t="s">
        <v>8512</v>
      </c>
      <c r="M240" s="18"/>
      <c r="N240" s="18" t="s">
        <v>10</v>
      </c>
      <c r="O240" s="18" t="s">
        <v>10</v>
      </c>
      <c r="P240" s="18" t="s">
        <v>8513</v>
      </c>
      <c r="Q240" s="18" t="s">
        <v>8514</v>
      </c>
      <c r="R240" s="18" t="s">
        <v>8515</v>
      </c>
      <c r="S240" s="1" t="s">
        <v>6242</v>
      </c>
      <c r="T240" s="1">
        <f t="shared" si="10"/>
        <v>33466</v>
      </c>
      <c r="U240" s="1">
        <f t="shared" si="11"/>
        <v>6534</v>
      </c>
      <c r="X240" s="1">
        <v>6534</v>
      </c>
      <c r="AH240" s="1">
        <f>SUM(AI240:AT240)</f>
        <v>26932</v>
      </c>
      <c r="AK240" s="1">
        <v>26932</v>
      </c>
    </row>
    <row r="241" spans="1:37" x14ac:dyDescent="0.2">
      <c r="A241" s="18" t="s">
        <v>8240</v>
      </c>
      <c r="B241" s="18">
        <v>22754043</v>
      </c>
      <c r="C241" s="18" t="s">
        <v>7421</v>
      </c>
      <c r="D241" s="18"/>
      <c r="E241" s="19">
        <v>18</v>
      </c>
      <c r="F241" s="18"/>
      <c r="G241" s="18" t="s">
        <v>8241</v>
      </c>
      <c r="H241" s="18" t="s">
        <v>8242</v>
      </c>
      <c r="I241" s="24">
        <v>41091</v>
      </c>
      <c r="J241" s="18" t="s">
        <v>11</v>
      </c>
      <c r="K241" s="18" t="s">
        <v>8243</v>
      </c>
      <c r="L241" s="18" t="s">
        <v>8244</v>
      </c>
      <c r="M241" s="18"/>
      <c r="N241" s="18" t="s">
        <v>10</v>
      </c>
      <c r="O241" s="18" t="s">
        <v>10</v>
      </c>
      <c r="P241" s="18" t="s">
        <v>8245</v>
      </c>
      <c r="Q241" s="18" t="s">
        <v>33</v>
      </c>
      <c r="R241" s="18" t="s">
        <v>8246</v>
      </c>
      <c r="S241" s="1" t="s">
        <v>6243</v>
      </c>
      <c r="T241" s="1">
        <f t="shared" si="10"/>
        <v>2402</v>
      </c>
      <c r="U241" s="1">
        <f t="shared" si="11"/>
        <v>2402</v>
      </c>
      <c r="V241" s="1">
        <v>2402</v>
      </c>
    </row>
    <row r="242" spans="1:37" x14ac:dyDescent="0.2">
      <c r="A242" s="18" t="s">
        <v>1355</v>
      </c>
      <c r="B242" s="18">
        <v>22760553</v>
      </c>
      <c r="C242" s="18" t="s">
        <v>7421</v>
      </c>
      <c r="D242" s="18"/>
      <c r="E242" s="19">
        <v>14</v>
      </c>
      <c r="F242" s="18"/>
      <c r="G242" s="18" t="s">
        <v>10254</v>
      </c>
      <c r="H242" s="18" t="s">
        <v>10255</v>
      </c>
      <c r="I242" s="24">
        <v>41093</v>
      </c>
      <c r="J242" s="18" t="s">
        <v>11</v>
      </c>
      <c r="K242" s="18" t="s">
        <v>7641</v>
      </c>
      <c r="L242" s="18" t="s">
        <v>10256</v>
      </c>
      <c r="M242" s="18"/>
      <c r="N242" s="18" t="s">
        <v>10</v>
      </c>
      <c r="O242" s="18" t="s">
        <v>10</v>
      </c>
      <c r="P242" s="18" t="s">
        <v>10257</v>
      </c>
      <c r="Q242" s="18" t="s">
        <v>33</v>
      </c>
      <c r="R242" s="18" t="s">
        <v>10258</v>
      </c>
      <c r="S242" s="1" t="s">
        <v>6244</v>
      </c>
      <c r="T242" s="1">
        <f t="shared" si="10"/>
        <v>1762</v>
      </c>
      <c r="U242" s="1">
        <f t="shared" si="11"/>
        <v>1762</v>
      </c>
      <c r="V242" s="1">
        <v>1392</v>
      </c>
      <c r="W242" s="1">
        <v>264</v>
      </c>
      <c r="AE242" s="1">
        <v>106</v>
      </c>
    </row>
    <row r="243" spans="1:37" x14ac:dyDescent="0.2">
      <c r="A243" s="18" t="s">
        <v>9864</v>
      </c>
      <c r="B243" s="18">
        <v>22763110</v>
      </c>
      <c r="C243" s="18" t="s">
        <v>7421</v>
      </c>
      <c r="D243" s="18"/>
      <c r="E243" s="19">
        <v>721</v>
      </c>
      <c r="F243" s="18"/>
      <c r="G243" s="18" t="s">
        <v>429</v>
      </c>
      <c r="H243" s="18" t="s">
        <v>430</v>
      </c>
      <c r="I243" s="24">
        <v>41093</v>
      </c>
      <c r="J243" s="18" t="s">
        <v>11</v>
      </c>
      <c r="K243" s="18" t="s">
        <v>351</v>
      </c>
      <c r="L243" s="18" t="s">
        <v>9865</v>
      </c>
      <c r="M243" s="18"/>
      <c r="N243" s="18" t="s">
        <v>10</v>
      </c>
      <c r="O243" s="18" t="s">
        <v>10</v>
      </c>
      <c r="P243" s="18" t="s">
        <v>9866</v>
      </c>
      <c r="Q243" s="18" t="s">
        <v>9867</v>
      </c>
      <c r="R243" s="18" t="s">
        <v>9868</v>
      </c>
      <c r="S243" s="1" t="s">
        <v>6243</v>
      </c>
      <c r="T243" s="1">
        <f t="shared" si="10"/>
        <v>68830</v>
      </c>
      <c r="U243" s="1">
        <f t="shared" si="11"/>
        <v>18419</v>
      </c>
      <c r="V243" s="1">
        <v>18419</v>
      </c>
      <c r="AH243" s="1">
        <f>SUM(AI243:AT243)</f>
        <v>50411</v>
      </c>
      <c r="AI243" s="1">
        <v>50411</v>
      </c>
    </row>
    <row r="244" spans="1:37" x14ac:dyDescent="0.2">
      <c r="A244" s="18" t="s">
        <v>1220</v>
      </c>
      <c r="B244" s="18">
        <v>22763476</v>
      </c>
      <c r="C244" s="18" t="s">
        <v>7421</v>
      </c>
      <c r="D244" s="18"/>
      <c r="E244" s="19">
        <v>29</v>
      </c>
      <c r="F244" s="18"/>
      <c r="G244" s="18" t="s">
        <v>10230</v>
      </c>
      <c r="H244" s="18" t="s">
        <v>7222</v>
      </c>
      <c r="I244" s="24">
        <v>41095</v>
      </c>
      <c r="J244" s="18" t="s">
        <v>11</v>
      </c>
      <c r="K244" s="18" t="s">
        <v>10231</v>
      </c>
      <c r="L244" s="18" t="s">
        <v>10232</v>
      </c>
      <c r="M244" s="18"/>
      <c r="N244" s="18" t="s">
        <v>10</v>
      </c>
      <c r="O244" s="18" t="s">
        <v>10</v>
      </c>
      <c r="P244" s="18" t="s">
        <v>10233</v>
      </c>
      <c r="Q244" s="18" t="s">
        <v>33</v>
      </c>
      <c r="R244" s="18" t="s">
        <v>10234</v>
      </c>
      <c r="S244" s="1" t="s">
        <v>6242</v>
      </c>
      <c r="T244" s="1">
        <f t="shared" si="10"/>
        <v>126</v>
      </c>
      <c r="U244" s="1">
        <f t="shared" si="11"/>
        <v>126</v>
      </c>
      <c r="X244" s="1">
        <v>126</v>
      </c>
    </row>
    <row r="245" spans="1:37" x14ac:dyDescent="0.2">
      <c r="A245" s="18" t="s">
        <v>8785</v>
      </c>
      <c r="B245" s="18">
        <v>22764253</v>
      </c>
      <c r="C245" s="18" t="s">
        <v>7421</v>
      </c>
      <c r="D245" s="18"/>
      <c r="E245" s="19">
        <v>1</v>
      </c>
      <c r="F245" s="18"/>
      <c r="G245" s="18" t="s">
        <v>706</v>
      </c>
      <c r="H245" s="18" t="s">
        <v>7077</v>
      </c>
      <c r="I245" s="24">
        <v>41107</v>
      </c>
      <c r="J245" s="18" t="s">
        <v>11</v>
      </c>
      <c r="K245" s="18" t="s">
        <v>1989</v>
      </c>
      <c r="L245" s="18" t="s">
        <v>8786</v>
      </c>
      <c r="M245" s="18"/>
      <c r="N245" s="18" t="s">
        <v>10</v>
      </c>
      <c r="O245" s="18" t="s">
        <v>10</v>
      </c>
      <c r="P245" s="18" t="s">
        <v>8787</v>
      </c>
      <c r="Q245" s="18" t="s">
        <v>8788</v>
      </c>
      <c r="R245" s="18" t="s">
        <v>8789</v>
      </c>
      <c r="S245" s="1" t="s">
        <v>6243</v>
      </c>
      <c r="T245" s="1">
        <f t="shared" si="10"/>
        <v>2527</v>
      </c>
      <c r="U245" s="1">
        <f t="shared" si="11"/>
        <v>1364</v>
      </c>
      <c r="V245" s="1">
        <v>1364</v>
      </c>
      <c r="AH245" s="1">
        <f>SUM(AI245:AT245)</f>
        <v>1163</v>
      </c>
      <c r="AI245" s="1">
        <v>1163</v>
      </c>
    </row>
    <row r="246" spans="1:37" x14ac:dyDescent="0.2">
      <c r="A246" s="18" t="s">
        <v>1275</v>
      </c>
      <c r="B246" s="18">
        <v>22773346</v>
      </c>
      <c r="C246" s="18" t="s">
        <v>7421</v>
      </c>
      <c r="D246" s="18"/>
      <c r="E246" s="19">
        <v>24</v>
      </c>
      <c r="F246" s="18"/>
      <c r="G246" s="18" t="s">
        <v>7534</v>
      </c>
      <c r="H246" s="18" t="s">
        <v>2428</v>
      </c>
      <c r="I246" s="24">
        <v>41097</v>
      </c>
      <c r="J246" s="18" t="s">
        <v>11</v>
      </c>
      <c r="K246" s="18" t="s">
        <v>6573</v>
      </c>
      <c r="L246" s="18" t="s">
        <v>7535</v>
      </c>
      <c r="M246" s="18"/>
      <c r="N246" s="18" t="s">
        <v>10</v>
      </c>
      <c r="O246" s="18" t="s">
        <v>10</v>
      </c>
      <c r="P246" s="18" t="s">
        <v>7536</v>
      </c>
      <c r="Q246" s="18" t="s">
        <v>33</v>
      </c>
      <c r="R246" s="18" t="s">
        <v>7537</v>
      </c>
      <c r="S246" s="1" t="s">
        <v>6243</v>
      </c>
      <c r="T246" s="1">
        <f t="shared" si="10"/>
        <v>80</v>
      </c>
      <c r="U246" s="1">
        <f t="shared" si="11"/>
        <v>80</v>
      </c>
      <c r="V246" s="1">
        <v>80</v>
      </c>
    </row>
    <row r="247" spans="1:37" x14ac:dyDescent="0.2">
      <c r="A247" s="18" t="s">
        <v>2654</v>
      </c>
      <c r="B247" s="18">
        <v>22780124</v>
      </c>
      <c r="C247" s="18" t="s">
        <v>7421</v>
      </c>
      <c r="D247" s="18"/>
      <c r="E247" s="19">
        <v>75</v>
      </c>
      <c r="F247" s="18"/>
      <c r="G247" s="18" t="s">
        <v>8639</v>
      </c>
      <c r="H247" s="18" t="s">
        <v>8640</v>
      </c>
      <c r="I247" s="24">
        <v>41101</v>
      </c>
      <c r="J247" s="18" t="s">
        <v>11</v>
      </c>
      <c r="K247" s="18" t="s">
        <v>2709</v>
      </c>
      <c r="L247" s="18" t="s">
        <v>8641</v>
      </c>
      <c r="M247" s="18"/>
      <c r="N247" s="18" t="s">
        <v>10</v>
      </c>
      <c r="O247" s="18" t="s">
        <v>10</v>
      </c>
      <c r="P247" s="18" t="s">
        <v>8642</v>
      </c>
      <c r="Q247" s="18" t="s">
        <v>33</v>
      </c>
      <c r="R247" s="18" t="s">
        <v>8643</v>
      </c>
      <c r="S247" s="1" t="s">
        <v>6243</v>
      </c>
      <c r="T247" s="1">
        <f t="shared" si="10"/>
        <v>1312</v>
      </c>
      <c r="U247" s="1">
        <f t="shared" si="11"/>
        <v>1312</v>
      </c>
      <c r="V247" s="1">
        <v>1312</v>
      </c>
    </row>
    <row r="248" spans="1:37" x14ac:dyDescent="0.2">
      <c r="A248" s="18" t="s">
        <v>7624</v>
      </c>
      <c r="B248" s="18">
        <v>22785395</v>
      </c>
      <c r="C248" s="18" t="s">
        <v>7421</v>
      </c>
      <c r="D248" s="18"/>
      <c r="E248" s="19">
        <v>10</v>
      </c>
      <c r="F248" s="18"/>
      <c r="G248" s="18" t="s">
        <v>128</v>
      </c>
      <c r="H248" s="18" t="s">
        <v>7126</v>
      </c>
      <c r="I248" s="24">
        <v>41101</v>
      </c>
      <c r="J248" s="18" t="s">
        <v>11</v>
      </c>
      <c r="K248" s="18" t="s">
        <v>1080</v>
      </c>
      <c r="L248" s="18" t="s">
        <v>7625</v>
      </c>
      <c r="M248" s="18"/>
      <c r="N248" s="18" t="s">
        <v>11</v>
      </c>
      <c r="O248" s="18" t="s">
        <v>11</v>
      </c>
      <c r="P248" s="18" t="s">
        <v>7626</v>
      </c>
      <c r="Q248" s="18" t="s">
        <v>33</v>
      </c>
      <c r="R248" s="18" t="s">
        <v>7627</v>
      </c>
      <c r="S248" s="1" t="s">
        <v>6243</v>
      </c>
      <c r="T248" s="1">
        <f t="shared" si="10"/>
        <v>282</v>
      </c>
      <c r="U248" s="1">
        <f t="shared" si="11"/>
        <v>282</v>
      </c>
      <c r="V248" s="1">
        <v>282</v>
      </c>
    </row>
    <row r="249" spans="1:37" x14ac:dyDescent="0.2">
      <c r="A249" s="18" t="s">
        <v>347</v>
      </c>
      <c r="B249" s="18">
        <v>22788528</v>
      </c>
      <c r="C249" s="18" t="s">
        <v>7421</v>
      </c>
      <c r="D249" s="18"/>
      <c r="E249" s="19">
        <v>23</v>
      </c>
      <c r="F249" s="18"/>
      <c r="G249" s="18" t="s">
        <v>8549</v>
      </c>
      <c r="H249" s="18" t="s">
        <v>8550</v>
      </c>
      <c r="I249" s="24">
        <v>41103</v>
      </c>
      <c r="J249" s="18" t="s">
        <v>11</v>
      </c>
      <c r="K249" s="18" t="s">
        <v>8551</v>
      </c>
      <c r="L249" s="18" t="s">
        <v>8552</v>
      </c>
      <c r="M249" s="18"/>
      <c r="N249" s="18" t="s">
        <v>10</v>
      </c>
      <c r="O249" s="18" t="s">
        <v>10</v>
      </c>
      <c r="P249" s="18" t="s">
        <v>8553</v>
      </c>
      <c r="Q249" s="18" t="s">
        <v>33</v>
      </c>
      <c r="R249" s="18" t="s">
        <v>8554</v>
      </c>
      <c r="S249" s="1" t="s">
        <v>6242</v>
      </c>
      <c r="T249" s="1">
        <f t="shared" si="10"/>
        <v>8722</v>
      </c>
      <c r="U249" s="1">
        <f t="shared" si="11"/>
        <v>8722</v>
      </c>
      <c r="X249" s="1">
        <v>8722</v>
      </c>
    </row>
    <row r="250" spans="1:37" x14ac:dyDescent="0.2">
      <c r="A250" s="18" t="s">
        <v>1431</v>
      </c>
      <c r="B250" s="18">
        <v>22791750</v>
      </c>
      <c r="C250" s="18" t="s">
        <v>7421</v>
      </c>
      <c r="D250" s="18"/>
      <c r="E250" s="19">
        <v>199</v>
      </c>
      <c r="F250" s="18"/>
      <c r="G250" s="18" t="s">
        <v>8851</v>
      </c>
      <c r="H250" s="18" t="s">
        <v>7381</v>
      </c>
      <c r="I250" s="24">
        <v>41102</v>
      </c>
      <c r="J250" s="18" t="s">
        <v>11</v>
      </c>
      <c r="K250" s="18" t="s">
        <v>103</v>
      </c>
      <c r="L250" s="18" t="s">
        <v>8852</v>
      </c>
      <c r="M250" s="18"/>
      <c r="N250" s="18" t="s">
        <v>10</v>
      </c>
      <c r="O250" s="18" t="s">
        <v>10</v>
      </c>
      <c r="P250" s="18" t="s">
        <v>8853</v>
      </c>
      <c r="Q250" s="18" t="s">
        <v>8854</v>
      </c>
      <c r="R250" s="18" t="s">
        <v>8855</v>
      </c>
      <c r="S250" s="1" t="s">
        <v>6440</v>
      </c>
      <c r="T250" s="1">
        <f t="shared" si="10"/>
        <v>1497</v>
      </c>
      <c r="U250" s="1">
        <f t="shared" si="11"/>
        <v>927</v>
      </c>
      <c r="W250" s="1">
        <v>927</v>
      </c>
      <c r="AH250" s="1">
        <f>SUM(AI250:AT250)</f>
        <v>570</v>
      </c>
      <c r="AJ250" s="1">
        <v>570</v>
      </c>
    </row>
    <row r="251" spans="1:37" x14ac:dyDescent="0.2">
      <c r="A251" s="18" t="s">
        <v>10685</v>
      </c>
      <c r="B251" s="18">
        <v>22792070</v>
      </c>
      <c r="C251" s="18" t="s">
        <v>7421</v>
      </c>
      <c r="D251" s="18"/>
      <c r="E251" s="19">
        <v>150</v>
      </c>
      <c r="F251" s="18"/>
      <c r="G251" s="18" t="s">
        <v>10686</v>
      </c>
      <c r="H251" s="18" t="s">
        <v>7231</v>
      </c>
      <c r="I251" s="24">
        <v>41095</v>
      </c>
      <c r="J251" s="18" t="s">
        <v>11</v>
      </c>
      <c r="K251" s="18" t="s">
        <v>65</v>
      </c>
      <c r="L251" s="18" t="s">
        <v>10687</v>
      </c>
      <c r="M251" s="18"/>
      <c r="N251" s="18" t="s">
        <v>10</v>
      </c>
      <c r="O251" s="18" t="s">
        <v>10</v>
      </c>
      <c r="P251" s="18" t="s">
        <v>10688</v>
      </c>
      <c r="Q251" s="18" t="s">
        <v>10689</v>
      </c>
      <c r="R251" s="18" t="s">
        <v>10690</v>
      </c>
      <c r="S251" s="1" t="s">
        <v>6243</v>
      </c>
      <c r="T251" s="1">
        <f t="shared" si="10"/>
        <v>13711</v>
      </c>
      <c r="U251" s="1">
        <f t="shared" si="11"/>
        <v>2659</v>
      </c>
      <c r="V251" s="1">
        <f>1834+825</f>
        <v>2659</v>
      </c>
      <c r="AH251" s="1">
        <f>SUM(AI251:AT251)</f>
        <v>11052</v>
      </c>
      <c r="AI251" s="1">
        <v>11052</v>
      </c>
    </row>
    <row r="252" spans="1:37" x14ac:dyDescent="0.2">
      <c r="A252" s="18" t="s">
        <v>8086</v>
      </c>
      <c r="B252" s="18">
        <v>22792071</v>
      </c>
      <c r="C252" s="18" t="s">
        <v>7421</v>
      </c>
      <c r="D252" s="18"/>
      <c r="E252" s="19">
        <v>61</v>
      </c>
      <c r="F252" s="18"/>
      <c r="G252" s="18" t="s">
        <v>8101</v>
      </c>
      <c r="H252" s="18" t="s">
        <v>8102</v>
      </c>
      <c r="I252" s="24">
        <v>41095</v>
      </c>
      <c r="J252" s="18" t="s">
        <v>11</v>
      </c>
      <c r="K252" s="18" t="s">
        <v>65</v>
      </c>
      <c r="L252" s="18" t="s">
        <v>8103</v>
      </c>
      <c r="M252" s="18"/>
      <c r="N252" s="18" t="s">
        <v>10</v>
      </c>
      <c r="O252" s="18" t="s">
        <v>10</v>
      </c>
      <c r="P252" s="18" t="s">
        <v>8104</v>
      </c>
      <c r="Q252" s="18" t="s">
        <v>33</v>
      </c>
      <c r="R252" s="18" t="s">
        <v>868</v>
      </c>
      <c r="S252" s="1" t="s">
        <v>6243</v>
      </c>
      <c r="T252" s="1">
        <f t="shared" si="10"/>
        <v>5672</v>
      </c>
      <c r="U252" s="1">
        <f t="shared" si="11"/>
        <v>5672</v>
      </c>
      <c r="V252" s="1">
        <v>5672</v>
      </c>
    </row>
    <row r="253" spans="1:37" x14ac:dyDescent="0.2">
      <c r="A253" s="18" t="s">
        <v>1729</v>
      </c>
      <c r="B253" s="18">
        <v>22792082</v>
      </c>
      <c r="C253" s="18" t="s">
        <v>7421</v>
      </c>
      <c r="D253" s="18"/>
      <c r="E253" s="19">
        <v>162</v>
      </c>
      <c r="F253" s="18"/>
      <c r="G253" s="18" t="s">
        <v>7843</v>
      </c>
      <c r="H253" s="18" t="s">
        <v>7139</v>
      </c>
      <c r="I253" s="24">
        <v>41095</v>
      </c>
      <c r="J253" s="18" t="s">
        <v>11</v>
      </c>
      <c r="K253" s="18" t="s">
        <v>65</v>
      </c>
      <c r="L253" s="18" t="s">
        <v>7844</v>
      </c>
      <c r="M253" s="18"/>
      <c r="N253" s="18" t="s">
        <v>10</v>
      </c>
      <c r="O253" s="18" t="s">
        <v>10</v>
      </c>
      <c r="P253" s="18" t="s">
        <v>7845</v>
      </c>
      <c r="Q253" s="18" t="s">
        <v>7846</v>
      </c>
      <c r="R253" s="18" t="s">
        <v>7847</v>
      </c>
      <c r="S253" s="1" t="s">
        <v>6243</v>
      </c>
      <c r="T253" s="1">
        <f t="shared" si="10"/>
        <v>2695</v>
      </c>
      <c r="U253" s="1">
        <f t="shared" si="11"/>
        <v>1644</v>
      </c>
      <c r="V253" s="1">
        <v>1644</v>
      </c>
      <c r="AH253" s="1">
        <f t="shared" ref="AH253:AH261" si="13">SUM(AI253:AT253)</f>
        <v>1051</v>
      </c>
      <c r="AI253" s="1">
        <v>1051</v>
      </c>
    </row>
    <row r="254" spans="1:37" x14ac:dyDescent="0.2">
      <c r="A254" s="18" t="s">
        <v>8987</v>
      </c>
      <c r="B254" s="18">
        <v>22792221</v>
      </c>
      <c r="C254" s="18" t="s">
        <v>7421</v>
      </c>
      <c r="D254" s="18"/>
      <c r="E254" s="19">
        <v>49</v>
      </c>
      <c r="F254" s="18"/>
      <c r="G254" s="18" t="s">
        <v>8988</v>
      </c>
      <c r="H254" s="18" t="s">
        <v>1414</v>
      </c>
      <c r="I254" s="24">
        <v>41095</v>
      </c>
      <c r="J254" s="18" t="s">
        <v>11</v>
      </c>
      <c r="K254" s="18" t="s">
        <v>181</v>
      </c>
      <c r="L254" s="18" t="s">
        <v>8989</v>
      </c>
      <c r="M254" s="18"/>
      <c r="N254" s="18" t="s">
        <v>10</v>
      </c>
      <c r="O254" s="18" t="s">
        <v>10</v>
      </c>
      <c r="P254" s="18" t="s">
        <v>8990</v>
      </c>
      <c r="Q254" s="18" t="s">
        <v>8991</v>
      </c>
      <c r="R254" s="18" t="s">
        <v>8992</v>
      </c>
      <c r="S254" s="1" t="s">
        <v>6242</v>
      </c>
      <c r="T254" s="1">
        <f t="shared" si="10"/>
        <v>1878</v>
      </c>
      <c r="U254" s="1">
        <f t="shared" si="11"/>
        <v>843</v>
      </c>
      <c r="X254" s="1">
        <f>286+557</f>
        <v>843</v>
      </c>
      <c r="AH254" s="1">
        <f t="shared" si="13"/>
        <v>1035</v>
      </c>
      <c r="AK254" s="1">
        <f>334+701</f>
        <v>1035</v>
      </c>
    </row>
    <row r="255" spans="1:37" x14ac:dyDescent="0.2">
      <c r="A255" s="18" t="s">
        <v>1504</v>
      </c>
      <c r="B255" s="18">
        <v>22794196</v>
      </c>
      <c r="C255" s="18" t="s">
        <v>7421</v>
      </c>
      <c r="D255" s="18"/>
      <c r="E255" s="19">
        <v>19</v>
      </c>
      <c r="F255" s="18"/>
      <c r="G255" s="18" t="s">
        <v>947</v>
      </c>
      <c r="H255" s="18" t="s">
        <v>6686</v>
      </c>
      <c r="I255" s="24">
        <v>41103</v>
      </c>
      <c r="J255" s="18" t="s">
        <v>11</v>
      </c>
      <c r="K255" s="18" t="s">
        <v>1408</v>
      </c>
      <c r="L255" s="18" t="s">
        <v>9887</v>
      </c>
      <c r="M255" s="18"/>
      <c r="N255" s="18" t="s">
        <v>11</v>
      </c>
      <c r="O255" s="18" t="s">
        <v>11</v>
      </c>
      <c r="P255" s="18" t="s">
        <v>9888</v>
      </c>
      <c r="Q255" s="18" t="s">
        <v>9889</v>
      </c>
      <c r="R255" s="18" t="s">
        <v>9890</v>
      </c>
      <c r="S255" s="1" t="s">
        <v>6243</v>
      </c>
      <c r="T255" s="1">
        <f t="shared" si="10"/>
        <v>12602</v>
      </c>
      <c r="U255" s="1">
        <f t="shared" si="11"/>
        <v>985</v>
      </c>
      <c r="V255" s="1">
        <f>342+643</f>
        <v>985</v>
      </c>
      <c r="AH255" s="1">
        <f t="shared" si="13"/>
        <v>11617</v>
      </c>
      <c r="AI255" s="1">
        <f>4651+6966</f>
        <v>11617</v>
      </c>
    </row>
    <row r="256" spans="1:37" x14ac:dyDescent="0.2">
      <c r="A256" s="18" t="s">
        <v>9427</v>
      </c>
      <c r="B256" s="18">
        <v>22797724</v>
      </c>
      <c r="C256" s="18" t="s">
        <v>7421</v>
      </c>
      <c r="D256" s="18"/>
      <c r="E256" s="19">
        <v>111</v>
      </c>
      <c r="F256" s="18"/>
      <c r="G256" s="18" t="s">
        <v>9428</v>
      </c>
      <c r="H256" s="18" t="s">
        <v>1809</v>
      </c>
      <c r="I256" s="24">
        <v>41105</v>
      </c>
      <c r="J256" s="18" t="s">
        <v>11</v>
      </c>
      <c r="K256" s="18" t="s">
        <v>28</v>
      </c>
      <c r="L256" s="18" t="s">
        <v>9429</v>
      </c>
      <c r="M256" s="18"/>
      <c r="N256" s="18" t="s">
        <v>10</v>
      </c>
      <c r="O256" s="18" t="s">
        <v>10</v>
      </c>
      <c r="P256" s="18" t="s">
        <v>9430</v>
      </c>
      <c r="Q256" s="18" t="s">
        <v>9431</v>
      </c>
      <c r="R256" s="18" t="s">
        <v>9432</v>
      </c>
      <c r="S256" s="1" t="s">
        <v>6242</v>
      </c>
      <c r="T256" s="1">
        <f t="shared" si="10"/>
        <v>17771</v>
      </c>
      <c r="U256" s="1">
        <f t="shared" si="11"/>
        <v>7028</v>
      </c>
      <c r="X256" s="1">
        <f>1695+5333</f>
        <v>7028</v>
      </c>
      <c r="AH256" s="1">
        <f t="shared" si="13"/>
        <v>10743</v>
      </c>
      <c r="AK256" s="1">
        <f>4334+6409</f>
        <v>10743</v>
      </c>
    </row>
    <row r="257" spans="1:44" x14ac:dyDescent="0.2">
      <c r="A257" s="18" t="s">
        <v>1326</v>
      </c>
      <c r="B257" s="18">
        <v>22797727</v>
      </c>
      <c r="C257" s="18" t="s">
        <v>7421</v>
      </c>
      <c r="D257" s="18"/>
      <c r="E257" s="19">
        <v>122</v>
      </c>
      <c r="F257" s="18"/>
      <c r="G257" s="18" t="s">
        <v>6857</v>
      </c>
      <c r="H257" s="18" t="s">
        <v>7401</v>
      </c>
      <c r="I257" s="24">
        <v>41105</v>
      </c>
      <c r="J257" s="18" t="s">
        <v>11</v>
      </c>
      <c r="K257" s="18" t="s">
        <v>28</v>
      </c>
      <c r="L257" s="18" t="s">
        <v>8321</v>
      </c>
      <c r="M257" s="18"/>
      <c r="N257" s="18" t="s">
        <v>10</v>
      </c>
      <c r="O257" s="18" t="s">
        <v>10</v>
      </c>
      <c r="P257" s="18" t="s">
        <v>8322</v>
      </c>
      <c r="Q257" s="18" t="s">
        <v>8323</v>
      </c>
      <c r="R257" s="18" t="s">
        <v>8324</v>
      </c>
      <c r="S257" s="1" t="s">
        <v>6242</v>
      </c>
      <c r="T257" s="1">
        <f t="shared" si="10"/>
        <v>57178</v>
      </c>
      <c r="U257" s="1">
        <f t="shared" si="11"/>
        <v>39717</v>
      </c>
      <c r="X257" s="1">
        <v>39717</v>
      </c>
      <c r="AH257" s="1">
        <f t="shared" si="13"/>
        <v>17461</v>
      </c>
      <c r="AK257" s="1">
        <v>17461</v>
      </c>
    </row>
    <row r="258" spans="1:44" x14ac:dyDescent="0.2">
      <c r="A258" s="18" t="s">
        <v>289</v>
      </c>
      <c r="B258" s="18">
        <v>22807686</v>
      </c>
      <c r="C258" s="18" t="s">
        <v>7421</v>
      </c>
      <c r="D258" s="18"/>
      <c r="E258" s="19">
        <v>142</v>
      </c>
      <c r="F258" s="18"/>
      <c r="G258" s="18" t="s">
        <v>6839</v>
      </c>
      <c r="H258" s="18" t="s">
        <v>6613</v>
      </c>
      <c r="I258" s="24">
        <v>41102</v>
      </c>
      <c r="J258" s="18" t="s">
        <v>11</v>
      </c>
      <c r="K258" s="18" t="s">
        <v>65</v>
      </c>
      <c r="L258" s="18" t="s">
        <v>9400</v>
      </c>
      <c r="M258" s="18"/>
      <c r="N258" s="18" t="s">
        <v>10</v>
      </c>
      <c r="O258" s="18" t="s">
        <v>10</v>
      </c>
      <c r="P258" s="18" t="s">
        <v>9401</v>
      </c>
      <c r="Q258" s="18" t="s">
        <v>9402</v>
      </c>
      <c r="R258" s="18" t="s">
        <v>10947</v>
      </c>
      <c r="S258" s="1" t="s">
        <v>6242</v>
      </c>
      <c r="T258" s="1">
        <f t="shared" ref="T258:T321" si="14">SUM(U258,AH258)</f>
        <v>12159</v>
      </c>
      <c r="U258" s="1">
        <f t="shared" ref="U258:U321" si="15">SUM(V258:AG258)</f>
        <v>3003</v>
      </c>
      <c r="X258" s="1">
        <f>1538+1465</f>
        <v>3003</v>
      </c>
      <c r="AH258" s="1">
        <f t="shared" si="13"/>
        <v>9156</v>
      </c>
      <c r="AK258" s="1">
        <f>4431+4725</f>
        <v>9156</v>
      </c>
    </row>
    <row r="259" spans="1:44" x14ac:dyDescent="0.2">
      <c r="A259" s="18" t="s">
        <v>7722</v>
      </c>
      <c r="B259" s="18">
        <v>22808956</v>
      </c>
      <c r="C259" s="18" t="s">
        <v>7421</v>
      </c>
      <c r="D259" s="18"/>
      <c r="E259" s="19">
        <v>93</v>
      </c>
      <c r="F259" s="18"/>
      <c r="G259" s="18" t="s">
        <v>7723</v>
      </c>
      <c r="H259" s="18" t="s">
        <v>7724</v>
      </c>
      <c r="I259" s="24">
        <v>41109</v>
      </c>
      <c r="J259" s="18" t="s">
        <v>11</v>
      </c>
      <c r="K259" s="18" t="s">
        <v>157</v>
      </c>
      <c r="L259" s="18" t="s">
        <v>7725</v>
      </c>
      <c r="M259" s="18"/>
      <c r="N259" s="18" t="s">
        <v>10</v>
      </c>
      <c r="O259" s="18" t="s">
        <v>10</v>
      </c>
      <c r="P259" s="18" t="s">
        <v>7726</v>
      </c>
      <c r="Q259" s="18" t="s">
        <v>7727</v>
      </c>
      <c r="R259" s="18" t="s">
        <v>10234</v>
      </c>
      <c r="S259" s="1" t="s">
        <v>6243</v>
      </c>
      <c r="T259" s="1">
        <f t="shared" si="14"/>
        <v>9293</v>
      </c>
      <c r="U259" s="1">
        <f t="shared" si="15"/>
        <v>6173</v>
      </c>
      <c r="V259" s="1">
        <f>914+5259</f>
        <v>6173</v>
      </c>
      <c r="AH259" s="1">
        <f t="shared" si="13"/>
        <v>3120</v>
      </c>
      <c r="AI259" s="1">
        <f>1454+1666</f>
        <v>3120</v>
      </c>
    </row>
    <row r="260" spans="1:44" x14ac:dyDescent="0.2">
      <c r="A260" s="18" t="s">
        <v>8285</v>
      </c>
      <c r="B260" s="18">
        <v>22814818</v>
      </c>
      <c r="C260" s="18" t="s">
        <v>7421</v>
      </c>
      <c r="D260" s="18"/>
      <c r="E260" s="19">
        <v>14</v>
      </c>
      <c r="F260" s="18"/>
      <c r="G260" s="18" t="s">
        <v>8280</v>
      </c>
      <c r="H260" s="18" t="s">
        <v>7334</v>
      </c>
      <c r="I260" s="24">
        <v>41110</v>
      </c>
      <c r="J260" s="18" t="s">
        <v>11</v>
      </c>
      <c r="K260" s="18" t="s">
        <v>595</v>
      </c>
      <c r="L260" s="18" t="s">
        <v>8286</v>
      </c>
      <c r="M260" s="18"/>
      <c r="N260" s="18" t="s">
        <v>10</v>
      </c>
      <c r="O260" s="18" t="s">
        <v>10</v>
      </c>
      <c r="P260" s="18" t="s">
        <v>8287</v>
      </c>
      <c r="Q260" s="18" t="s">
        <v>8288</v>
      </c>
      <c r="R260" s="18" t="s">
        <v>9840</v>
      </c>
      <c r="S260" s="1" t="s">
        <v>6243</v>
      </c>
      <c r="T260" s="1">
        <f t="shared" si="14"/>
        <v>5349</v>
      </c>
      <c r="U260" s="1">
        <f t="shared" si="15"/>
        <v>3931</v>
      </c>
      <c r="V260" s="1">
        <v>3931</v>
      </c>
      <c r="AH260" s="1">
        <f t="shared" si="13"/>
        <v>1418</v>
      </c>
      <c r="AI260" s="1">
        <v>1418</v>
      </c>
    </row>
    <row r="261" spans="1:44" x14ac:dyDescent="0.2">
      <c r="A261" s="18" t="s">
        <v>10132</v>
      </c>
      <c r="B261" s="18">
        <v>22821403</v>
      </c>
      <c r="C261" s="18" t="s">
        <v>7421</v>
      </c>
      <c r="D261" s="18"/>
      <c r="E261" s="19">
        <v>83</v>
      </c>
      <c r="F261" s="18"/>
      <c r="G261" s="18" t="s">
        <v>10133</v>
      </c>
      <c r="H261" s="18" t="s">
        <v>10134</v>
      </c>
      <c r="I261" s="24">
        <v>41113</v>
      </c>
      <c r="J261" s="18" t="s">
        <v>11</v>
      </c>
      <c r="K261" s="18" t="s">
        <v>2091</v>
      </c>
      <c r="L261" s="18" t="s">
        <v>10135</v>
      </c>
      <c r="M261" s="18"/>
      <c r="N261" s="18" t="s">
        <v>10</v>
      </c>
      <c r="O261" s="18" t="s">
        <v>10</v>
      </c>
      <c r="P261" s="18" t="s">
        <v>10136</v>
      </c>
      <c r="Q261" s="18" t="s">
        <v>10137</v>
      </c>
      <c r="R261" s="18" t="s">
        <v>10138</v>
      </c>
      <c r="S261" s="1" t="s">
        <v>6243</v>
      </c>
      <c r="T261" s="1">
        <f t="shared" si="14"/>
        <v>21459</v>
      </c>
      <c r="U261" s="1">
        <f t="shared" si="15"/>
        <v>4344</v>
      </c>
      <c r="V261" s="1">
        <f>389+987+2968</f>
        <v>4344</v>
      </c>
      <c r="AH261" s="1">
        <f t="shared" si="13"/>
        <v>17115</v>
      </c>
      <c r="AI261" s="1">
        <f>11659+4444+1012</f>
        <v>17115</v>
      </c>
    </row>
    <row r="262" spans="1:44" x14ac:dyDescent="0.2">
      <c r="A262" s="18" t="s">
        <v>1672</v>
      </c>
      <c r="B262" s="18">
        <v>22823124</v>
      </c>
      <c r="C262" s="18" t="s">
        <v>7421</v>
      </c>
      <c r="D262" s="18"/>
      <c r="E262" s="19">
        <v>30</v>
      </c>
      <c r="F262" s="18"/>
      <c r="G262" s="18" t="s">
        <v>8247</v>
      </c>
      <c r="H262" s="18" t="s">
        <v>6840</v>
      </c>
      <c r="I262" s="24">
        <v>41114</v>
      </c>
      <c r="J262" s="18" t="s">
        <v>11</v>
      </c>
      <c r="K262" s="18" t="s">
        <v>2709</v>
      </c>
      <c r="L262" s="18" t="s">
        <v>8248</v>
      </c>
      <c r="M262" s="18"/>
      <c r="N262" s="18" t="s">
        <v>10</v>
      </c>
      <c r="O262" s="18" t="s">
        <v>10</v>
      </c>
      <c r="P262" s="18" t="s">
        <v>8249</v>
      </c>
      <c r="Q262" s="18" t="s">
        <v>33</v>
      </c>
      <c r="R262" s="18" t="s">
        <v>8250</v>
      </c>
      <c r="S262" s="1" t="s">
        <v>6243</v>
      </c>
      <c r="T262" s="1">
        <f t="shared" si="14"/>
        <v>14713</v>
      </c>
      <c r="U262" s="1">
        <f t="shared" si="15"/>
        <v>14713</v>
      </c>
      <c r="V262" s="1">
        <f>10091+4622</f>
        <v>14713</v>
      </c>
    </row>
    <row r="263" spans="1:44" x14ac:dyDescent="0.2">
      <c r="A263" s="18" t="s">
        <v>8112</v>
      </c>
      <c r="B263" s="18">
        <v>22828495</v>
      </c>
      <c r="C263" s="18" t="s">
        <v>7421</v>
      </c>
      <c r="D263" s="18"/>
      <c r="E263" s="19">
        <v>30</v>
      </c>
      <c r="F263" s="18"/>
      <c r="G263" s="18" t="s">
        <v>8113</v>
      </c>
      <c r="H263" s="18" t="s">
        <v>7648</v>
      </c>
      <c r="I263" s="24">
        <v>41114</v>
      </c>
      <c r="J263" s="18" t="s">
        <v>11</v>
      </c>
      <c r="K263" s="18" t="s">
        <v>7641</v>
      </c>
      <c r="L263" s="18" t="s">
        <v>8114</v>
      </c>
      <c r="M263" s="18"/>
      <c r="N263" s="18" t="s">
        <v>10</v>
      </c>
      <c r="O263" s="18" t="s">
        <v>10</v>
      </c>
      <c r="P263" s="18" t="s">
        <v>8115</v>
      </c>
      <c r="Q263" s="18" t="s">
        <v>8116</v>
      </c>
      <c r="R263" s="18" t="s">
        <v>8117</v>
      </c>
      <c r="S263" s="1" t="s">
        <v>6243</v>
      </c>
      <c r="T263" s="1">
        <f t="shared" si="14"/>
        <v>331</v>
      </c>
      <c r="U263" s="1">
        <f t="shared" si="15"/>
        <v>246</v>
      </c>
      <c r="V263" s="1">
        <v>246</v>
      </c>
      <c r="AH263" s="1">
        <f>SUM(AI263:AT263)</f>
        <v>85</v>
      </c>
      <c r="AI263" s="1">
        <v>85</v>
      </c>
    </row>
    <row r="264" spans="1:44" x14ac:dyDescent="0.2">
      <c r="A264" s="18" t="s">
        <v>10469</v>
      </c>
      <c r="B264" s="18">
        <v>22829776</v>
      </c>
      <c r="C264" s="18" t="s">
        <v>7421</v>
      </c>
      <c r="D264" s="18"/>
      <c r="E264" s="19">
        <v>20</v>
      </c>
      <c r="F264" s="18"/>
      <c r="G264" s="18" t="s">
        <v>10470</v>
      </c>
      <c r="H264" s="18" t="s">
        <v>10471</v>
      </c>
      <c r="I264" s="24">
        <v>41109</v>
      </c>
      <c r="J264" s="18" t="s">
        <v>11</v>
      </c>
      <c r="K264" s="18" t="s">
        <v>65</v>
      </c>
      <c r="L264" s="18" t="s">
        <v>10472</v>
      </c>
      <c r="M264" s="18"/>
      <c r="N264" s="18" t="s">
        <v>11</v>
      </c>
      <c r="O264" s="18" t="s">
        <v>10</v>
      </c>
      <c r="P264" s="18" t="s">
        <v>10473</v>
      </c>
      <c r="Q264" s="18" t="s">
        <v>9295</v>
      </c>
      <c r="R264" s="18" t="s">
        <v>10474</v>
      </c>
      <c r="S264" s="1" t="s">
        <v>6243</v>
      </c>
      <c r="T264" s="1">
        <f t="shared" si="14"/>
        <v>29966</v>
      </c>
      <c r="U264" s="1">
        <f t="shared" si="15"/>
        <v>21791</v>
      </c>
      <c r="V264" s="1">
        <v>21791</v>
      </c>
      <c r="AH264" s="1">
        <f>SUM(AI264:AT264)</f>
        <v>8175</v>
      </c>
      <c r="AI264" s="1">
        <v>8175</v>
      </c>
    </row>
    <row r="265" spans="1:44" x14ac:dyDescent="0.2">
      <c r="A265" s="18" t="s">
        <v>10644</v>
      </c>
      <c r="B265" s="18">
        <v>22832960</v>
      </c>
      <c r="C265" s="18" t="s">
        <v>7421</v>
      </c>
      <c r="D265" s="18"/>
      <c r="E265" s="19">
        <v>154</v>
      </c>
      <c r="F265" s="18"/>
      <c r="G265" s="18" t="s">
        <v>10645</v>
      </c>
      <c r="H265" s="18" t="s">
        <v>179</v>
      </c>
      <c r="I265" s="24">
        <v>41044</v>
      </c>
      <c r="J265" s="18" t="s">
        <v>11</v>
      </c>
      <c r="K265" s="18" t="s">
        <v>7641</v>
      </c>
      <c r="L265" s="18" t="s">
        <v>10646</v>
      </c>
      <c r="M265" s="18"/>
      <c r="N265" s="18" t="s">
        <v>10</v>
      </c>
      <c r="O265" s="18" t="s">
        <v>10</v>
      </c>
      <c r="P265" s="18" t="s">
        <v>10647</v>
      </c>
      <c r="Q265" s="18" t="s">
        <v>33</v>
      </c>
      <c r="R265" s="18" t="s">
        <v>10648</v>
      </c>
      <c r="S265" s="1" t="s">
        <v>6243</v>
      </c>
      <c r="T265" s="1">
        <f t="shared" si="14"/>
        <v>12433</v>
      </c>
      <c r="U265" s="1">
        <f t="shared" si="15"/>
        <v>12433</v>
      </c>
      <c r="V265" s="1">
        <v>12433</v>
      </c>
    </row>
    <row r="266" spans="1:44" x14ac:dyDescent="0.2">
      <c r="A266" s="18" t="s">
        <v>3097</v>
      </c>
      <c r="B266" s="18">
        <v>22832961</v>
      </c>
      <c r="C266" s="18" t="s">
        <v>7421</v>
      </c>
      <c r="D266" s="18"/>
      <c r="E266" s="19">
        <v>149</v>
      </c>
      <c r="F266" s="18"/>
      <c r="G266" s="18" t="s">
        <v>128</v>
      </c>
      <c r="H266" s="18" t="s">
        <v>7126</v>
      </c>
      <c r="I266" s="24">
        <v>41044</v>
      </c>
      <c r="J266" s="18" t="s">
        <v>11</v>
      </c>
      <c r="K266" s="18" t="s">
        <v>7641</v>
      </c>
      <c r="L266" s="18" t="s">
        <v>7642</v>
      </c>
      <c r="M266" s="18"/>
      <c r="N266" s="18" t="s">
        <v>10</v>
      </c>
      <c r="O266" s="18" t="s">
        <v>10</v>
      </c>
      <c r="P266" s="18" t="s">
        <v>7643</v>
      </c>
      <c r="Q266" s="18" t="s">
        <v>7644</v>
      </c>
      <c r="R266" s="18" t="s">
        <v>7645</v>
      </c>
      <c r="S266" s="1" t="s">
        <v>6243</v>
      </c>
      <c r="T266" s="1">
        <f t="shared" si="14"/>
        <v>8292</v>
      </c>
      <c r="U266" s="1">
        <f t="shared" si="15"/>
        <v>2229</v>
      </c>
      <c r="V266" s="1">
        <f>1291+938</f>
        <v>2229</v>
      </c>
      <c r="AH266" s="1">
        <f>SUM(AI266:AT266)</f>
        <v>6063</v>
      </c>
      <c r="AI266" s="1">
        <f>509+753</f>
        <v>1262</v>
      </c>
      <c r="AR266" s="1">
        <f>2218+2583</f>
        <v>4801</v>
      </c>
    </row>
    <row r="267" spans="1:44" x14ac:dyDescent="0.2">
      <c r="A267" s="18" t="s">
        <v>9777</v>
      </c>
      <c r="B267" s="18">
        <v>22832964</v>
      </c>
      <c r="C267" s="18" t="s">
        <v>7421</v>
      </c>
      <c r="D267" s="18"/>
      <c r="E267" s="19">
        <v>23</v>
      </c>
      <c r="F267" s="18"/>
      <c r="G267" s="18" t="s">
        <v>2569</v>
      </c>
      <c r="H267" s="18" t="s">
        <v>7156</v>
      </c>
      <c r="I267" s="24">
        <v>41051</v>
      </c>
      <c r="J267" s="18" t="s">
        <v>11</v>
      </c>
      <c r="K267" s="18" t="s">
        <v>7641</v>
      </c>
      <c r="L267" s="18" t="s">
        <v>9778</v>
      </c>
      <c r="M267" s="18"/>
      <c r="N267" s="18" t="s">
        <v>10</v>
      </c>
      <c r="O267" s="18" t="s">
        <v>10</v>
      </c>
      <c r="P267" s="18" t="s">
        <v>9779</v>
      </c>
      <c r="Q267" s="18" t="s">
        <v>33</v>
      </c>
      <c r="R267" s="18" t="s">
        <v>9780</v>
      </c>
      <c r="S267" s="1" t="s">
        <v>6440</v>
      </c>
      <c r="T267" s="1">
        <f t="shared" si="14"/>
        <v>32389</v>
      </c>
      <c r="U267" s="1">
        <f t="shared" si="15"/>
        <v>32389</v>
      </c>
      <c r="W267" s="1">
        <v>32389</v>
      </c>
    </row>
    <row r="268" spans="1:44" x14ac:dyDescent="0.2">
      <c r="A268" s="18" t="s">
        <v>264</v>
      </c>
      <c r="B268" s="18">
        <v>22837378</v>
      </c>
      <c r="C268" s="18" t="s">
        <v>7421</v>
      </c>
      <c r="D268" s="18"/>
      <c r="E268" s="19">
        <v>178</v>
      </c>
      <c r="F268" s="18"/>
      <c r="G268" s="18" t="s">
        <v>7538</v>
      </c>
      <c r="H268" s="18" t="s">
        <v>7539</v>
      </c>
      <c r="I268" s="24">
        <v>41116</v>
      </c>
      <c r="J268" s="18" t="s">
        <v>11</v>
      </c>
      <c r="K268" s="18" t="s">
        <v>1637</v>
      </c>
      <c r="L268" s="18" t="s">
        <v>7540</v>
      </c>
      <c r="M268" s="18"/>
      <c r="N268" s="18" t="s">
        <v>10</v>
      </c>
      <c r="O268" s="18" t="s">
        <v>10</v>
      </c>
      <c r="P268" s="18" t="s">
        <v>7541</v>
      </c>
      <c r="Q268" s="18" t="s">
        <v>7542</v>
      </c>
      <c r="R268" s="18" t="s">
        <v>7543</v>
      </c>
      <c r="S268" s="1" t="s">
        <v>6243</v>
      </c>
      <c r="T268" s="1">
        <f t="shared" si="14"/>
        <v>32388</v>
      </c>
      <c r="U268" s="1">
        <f t="shared" si="15"/>
        <v>29507</v>
      </c>
      <c r="V268" s="1">
        <v>29507</v>
      </c>
      <c r="AH268" s="1">
        <f>SUM(AI268:AT268)</f>
        <v>2881</v>
      </c>
      <c r="AI268" s="1">
        <f>331+2550</f>
        <v>2881</v>
      </c>
    </row>
    <row r="269" spans="1:44" x14ac:dyDescent="0.2">
      <c r="A269" s="18" t="s">
        <v>10375</v>
      </c>
      <c r="B269" s="18">
        <v>22837380</v>
      </c>
      <c r="C269" s="18" t="s">
        <v>7421</v>
      </c>
      <c r="D269" s="18"/>
      <c r="E269" s="19">
        <v>80</v>
      </c>
      <c r="F269" s="18"/>
      <c r="G269" s="18" t="s">
        <v>491</v>
      </c>
      <c r="H269" s="18" t="s">
        <v>492</v>
      </c>
      <c r="I269" s="24">
        <v>41116</v>
      </c>
      <c r="J269" s="18" t="s">
        <v>11</v>
      </c>
      <c r="K269" s="18" t="s">
        <v>1637</v>
      </c>
      <c r="L269" s="18" t="s">
        <v>10376</v>
      </c>
      <c r="M269" s="18"/>
      <c r="N269" s="18" t="s">
        <v>10</v>
      </c>
      <c r="O269" s="18" t="s">
        <v>10</v>
      </c>
      <c r="P269" s="18" t="s">
        <v>10377</v>
      </c>
      <c r="Q269" s="18" t="s">
        <v>10378</v>
      </c>
      <c r="R269" s="18" t="s">
        <v>10379</v>
      </c>
      <c r="S269" s="1" t="s">
        <v>6243</v>
      </c>
      <c r="T269" s="1">
        <f t="shared" si="14"/>
        <v>8878</v>
      </c>
      <c r="U269" s="1">
        <f t="shared" si="15"/>
        <v>2139</v>
      </c>
      <c r="V269" s="1">
        <f>564+1575</f>
        <v>2139</v>
      </c>
      <c r="AH269" s="1">
        <f>SUM(AI269:AT269)</f>
        <v>6739</v>
      </c>
      <c r="AI269" s="1">
        <f>3080+3659</f>
        <v>6739</v>
      </c>
    </row>
    <row r="270" spans="1:44" x14ac:dyDescent="0.2">
      <c r="A270" s="18" t="s">
        <v>10369</v>
      </c>
      <c r="B270" s="18">
        <v>22837397</v>
      </c>
      <c r="C270" s="18" t="s">
        <v>7421</v>
      </c>
      <c r="D270" s="18"/>
      <c r="E270" s="19">
        <v>64282</v>
      </c>
      <c r="F270" s="18"/>
      <c r="G270" s="18" t="s">
        <v>10370</v>
      </c>
      <c r="H270" s="18" t="s">
        <v>10371</v>
      </c>
      <c r="I270" s="24">
        <v>41115</v>
      </c>
      <c r="J270" s="18" t="s">
        <v>10</v>
      </c>
      <c r="K270" s="18" t="s">
        <v>210</v>
      </c>
      <c r="L270" s="18" t="s">
        <v>10372</v>
      </c>
      <c r="M270" s="18"/>
      <c r="N270" s="18" t="s">
        <v>10</v>
      </c>
      <c r="O270" s="18" t="s">
        <v>10</v>
      </c>
      <c r="P270" s="18" t="s">
        <v>10373</v>
      </c>
      <c r="Q270" s="18" t="s">
        <v>33</v>
      </c>
      <c r="R270" s="18" t="s">
        <v>10374</v>
      </c>
      <c r="S270" s="1" t="s">
        <v>6248</v>
      </c>
      <c r="T270" s="1">
        <f t="shared" si="14"/>
        <v>120</v>
      </c>
      <c r="U270" s="1">
        <f t="shared" si="15"/>
        <v>120</v>
      </c>
      <c r="AE270" s="1">
        <v>120</v>
      </c>
    </row>
    <row r="271" spans="1:44" x14ac:dyDescent="0.2">
      <c r="A271" s="18" t="s">
        <v>9119</v>
      </c>
      <c r="B271" s="18">
        <v>22841784</v>
      </c>
      <c r="C271" s="18" t="s">
        <v>7421</v>
      </c>
      <c r="D271" s="18"/>
      <c r="E271" s="19">
        <v>96</v>
      </c>
      <c r="F271" s="18"/>
      <c r="G271" s="18" t="s">
        <v>9120</v>
      </c>
      <c r="H271" s="18" t="s">
        <v>9114</v>
      </c>
      <c r="I271" s="24">
        <v>41116</v>
      </c>
      <c r="J271" s="18" t="s">
        <v>11</v>
      </c>
      <c r="K271" s="18" t="s">
        <v>477</v>
      </c>
      <c r="L271" s="18" t="s">
        <v>9121</v>
      </c>
      <c r="M271" s="18"/>
      <c r="N271" s="18" t="s">
        <v>10</v>
      </c>
      <c r="O271" s="18" t="s">
        <v>10</v>
      </c>
      <c r="P271" s="18" t="s">
        <v>9122</v>
      </c>
      <c r="Q271" s="18" t="s">
        <v>9123</v>
      </c>
      <c r="R271" s="18" t="s">
        <v>9124</v>
      </c>
      <c r="S271" s="1" t="s">
        <v>6243</v>
      </c>
      <c r="T271" s="1">
        <f t="shared" si="14"/>
        <v>2342</v>
      </c>
      <c r="U271" s="1">
        <f t="shared" si="15"/>
        <v>1161</v>
      </c>
      <c r="V271" s="1">
        <v>1161</v>
      </c>
      <c r="AH271" s="1">
        <f>SUM(AI271:AT271)</f>
        <v>1181</v>
      </c>
      <c r="AI271" s="1">
        <v>1181</v>
      </c>
    </row>
    <row r="272" spans="1:44" x14ac:dyDescent="0.2">
      <c r="A272" s="18" t="s">
        <v>8105</v>
      </c>
      <c r="B272" s="18">
        <v>22843499</v>
      </c>
      <c r="C272" s="18" t="s">
        <v>7421</v>
      </c>
      <c r="D272" s="18"/>
      <c r="E272" s="19">
        <v>2</v>
      </c>
      <c r="F272" s="18"/>
      <c r="G272" s="18" t="s">
        <v>8899</v>
      </c>
      <c r="H272" s="18" t="s">
        <v>8900</v>
      </c>
      <c r="I272" s="24">
        <v>41117</v>
      </c>
      <c r="J272" s="18" t="s">
        <v>11</v>
      </c>
      <c r="K272" s="18" t="s">
        <v>103</v>
      </c>
      <c r="L272" s="18" t="s">
        <v>8901</v>
      </c>
      <c r="M272" s="18"/>
      <c r="N272" s="18" t="s">
        <v>11</v>
      </c>
      <c r="O272" s="18" t="s">
        <v>10</v>
      </c>
      <c r="P272" s="18" t="s">
        <v>8902</v>
      </c>
      <c r="Q272" s="18" t="s">
        <v>33</v>
      </c>
      <c r="R272" s="18" t="s">
        <v>8903</v>
      </c>
      <c r="S272" s="1" t="s">
        <v>6243</v>
      </c>
      <c r="T272" s="1">
        <f t="shared" si="14"/>
        <v>114863</v>
      </c>
      <c r="U272" s="1">
        <f t="shared" si="15"/>
        <v>114863</v>
      </c>
      <c r="V272" s="1">
        <f>61094+53769</f>
        <v>114863</v>
      </c>
    </row>
    <row r="273" spans="1:44" x14ac:dyDescent="0.2">
      <c r="A273" s="18" t="s">
        <v>1335</v>
      </c>
      <c r="B273" s="18">
        <v>22843503</v>
      </c>
      <c r="C273" s="18" t="s">
        <v>7421</v>
      </c>
      <c r="D273" s="18"/>
      <c r="E273" s="19">
        <v>5</v>
      </c>
      <c r="F273" s="18"/>
      <c r="G273" s="18" t="s">
        <v>8368</v>
      </c>
      <c r="H273" s="18" t="s">
        <v>7219</v>
      </c>
      <c r="I273" s="24">
        <v>41116</v>
      </c>
      <c r="J273" s="18" t="s">
        <v>11</v>
      </c>
      <c r="K273" s="18" t="s">
        <v>103</v>
      </c>
      <c r="L273" s="18" t="s">
        <v>8369</v>
      </c>
      <c r="M273" s="18"/>
      <c r="N273" s="18" t="s">
        <v>10</v>
      </c>
      <c r="O273" s="18" t="s">
        <v>10</v>
      </c>
      <c r="P273" s="18" t="s">
        <v>8370</v>
      </c>
      <c r="Q273" s="18" t="s">
        <v>8371</v>
      </c>
      <c r="R273" s="18" t="s">
        <v>8372</v>
      </c>
      <c r="S273" s="1" t="s">
        <v>6243</v>
      </c>
      <c r="T273" s="1">
        <f t="shared" si="14"/>
        <v>3907</v>
      </c>
      <c r="U273" s="1">
        <f t="shared" si="15"/>
        <v>3248</v>
      </c>
      <c r="V273" s="1">
        <v>3248</v>
      </c>
      <c r="AH273" s="1">
        <f t="shared" ref="AH273:AH280" si="16">SUM(AI273:AT273)</f>
        <v>659</v>
      </c>
      <c r="AI273" s="1">
        <v>659</v>
      </c>
    </row>
    <row r="274" spans="1:44" x14ac:dyDescent="0.2">
      <c r="A274" s="18" t="s">
        <v>1623</v>
      </c>
      <c r="B274" s="18">
        <v>22843504</v>
      </c>
      <c r="C274" s="18" t="s">
        <v>7421</v>
      </c>
      <c r="D274" s="18"/>
      <c r="E274" s="19">
        <v>57</v>
      </c>
      <c r="F274" s="18"/>
      <c r="G274" s="18" t="s">
        <v>842</v>
      </c>
      <c r="H274" s="18" t="s">
        <v>318</v>
      </c>
      <c r="I274" s="24">
        <v>41116</v>
      </c>
      <c r="J274" s="18" t="s">
        <v>11</v>
      </c>
      <c r="K274" s="18" t="s">
        <v>103</v>
      </c>
      <c r="L274" s="18" t="s">
        <v>7880</v>
      </c>
      <c r="M274" s="18"/>
      <c r="N274" s="18" t="s">
        <v>10</v>
      </c>
      <c r="O274" s="18" t="s">
        <v>10</v>
      </c>
      <c r="P274" s="18" t="s">
        <v>7881</v>
      </c>
      <c r="Q274" s="18" t="s">
        <v>7882</v>
      </c>
      <c r="R274" s="18" t="s">
        <v>7883</v>
      </c>
      <c r="S274" s="1" t="s">
        <v>6243</v>
      </c>
      <c r="T274" s="1">
        <f t="shared" si="14"/>
        <v>2733</v>
      </c>
      <c r="U274" s="1">
        <f t="shared" si="15"/>
        <v>1419</v>
      </c>
      <c r="V274" s="1">
        <v>1419</v>
      </c>
      <c r="AH274" s="1">
        <f t="shared" si="16"/>
        <v>1314</v>
      </c>
      <c r="AI274" s="1">
        <v>1314</v>
      </c>
    </row>
    <row r="275" spans="1:44" x14ac:dyDescent="0.2">
      <c r="A275" s="18" t="s">
        <v>9906</v>
      </c>
      <c r="B275" s="18">
        <v>22843789</v>
      </c>
      <c r="C275" s="18" t="s">
        <v>7421</v>
      </c>
      <c r="D275" s="18"/>
      <c r="E275" s="19">
        <v>5</v>
      </c>
      <c r="F275" s="18"/>
      <c r="G275" s="18" t="s">
        <v>9907</v>
      </c>
      <c r="H275" s="18" t="s">
        <v>9908</v>
      </c>
      <c r="I275" s="24">
        <v>41117</v>
      </c>
      <c r="J275" s="18" t="s">
        <v>11</v>
      </c>
      <c r="K275" s="18" t="s">
        <v>2053</v>
      </c>
      <c r="L275" s="18" t="s">
        <v>9909</v>
      </c>
      <c r="M275" s="18"/>
      <c r="N275" s="18" t="s">
        <v>11</v>
      </c>
      <c r="O275" s="18" t="s">
        <v>11</v>
      </c>
      <c r="P275" s="18" t="s">
        <v>9910</v>
      </c>
      <c r="Q275" s="18" t="s">
        <v>9911</v>
      </c>
      <c r="R275" s="18" t="s">
        <v>9912</v>
      </c>
      <c r="S275" s="1" t="s">
        <v>6244</v>
      </c>
      <c r="T275" s="1">
        <f t="shared" si="14"/>
        <v>1126</v>
      </c>
      <c r="U275" s="1">
        <f t="shared" si="15"/>
        <v>855</v>
      </c>
      <c r="V275" s="1">
        <v>855</v>
      </c>
      <c r="AH275" s="1">
        <f t="shared" si="16"/>
        <v>271</v>
      </c>
      <c r="AI275" s="1">
        <v>154</v>
      </c>
      <c r="AJ275" s="1">
        <v>117</v>
      </c>
    </row>
    <row r="276" spans="1:44" x14ac:dyDescent="0.2">
      <c r="A276" s="18" t="s">
        <v>9565</v>
      </c>
      <c r="B276" s="18">
        <v>22846425</v>
      </c>
      <c r="C276" s="18" t="s">
        <v>7421</v>
      </c>
      <c r="D276" s="18"/>
      <c r="E276" s="19">
        <v>3</v>
      </c>
      <c r="F276" s="18"/>
      <c r="G276" s="18" t="s">
        <v>9566</v>
      </c>
      <c r="H276" s="18" t="s">
        <v>9567</v>
      </c>
      <c r="I276" s="24">
        <v>41120</v>
      </c>
      <c r="J276" s="18" t="s">
        <v>10</v>
      </c>
      <c r="K276" s="18" t="s">
        <v>103</v>
      </c>
      <c r="L276" s="18" t="s">
        <v>9568</v>
      </c>
      <c r="M276" s="18"/>
      <c r="N276" s="18" t="s">
        <v>10</v>
      </c>
      <c r="O276" s="18" t="s">
        <v>10</v>
      </c>
      <c r="P276" s="18" t="s">
        <v>9569</v>
      </c>
      <c r="Q276" s="18" t="s">
        <v>9570</v>
      </c>
      <c r="R276" s="18" t="s">
        <v>10950</v>
      </c>
      <c r="S276" s="1" t="s">
        <v>6248</v>
      </c>
      <c r="T276" s="1">
        <f t="shared" si="14"/>
        <v>388</v>
      </c>
      <c r="U276" s="1">
        <f t="shared" si="15"/>
        <v>89</v>
      </c>
      <c r="V276" s="1">
        <v>89</v>
      </c>
      <c r="AH276" s="1">
        <f t="shared" si="16"/>
        <v>299</v>
      </c>
      <c r="AR276" s="1">
        <v>299</v>
      </c>
    </row>
    <row r="277" spans="1:44" x14ac:dyDescent="0.2">
      <c r="A277" s="18" t="s">
        <v>7646</v>
      </c>
      <c r="B277" s="18">
        <v>22856363</v>
      </c>
      <c r="C277" s="18" t="s">
        <v>7421</v>
      </c>
      <c r="D277" s="18"/>
      <c r="E277" s="19">
        <v>13</v>
      </c>
      <c r="F277" s="18"/>
      <c r="G277" s="18" t="s">
        <v>7647</v>
      </c>
      <c r="H277" s="18" t="s">
        <v>7648</v>
      </c>
      <c r="I277" s="24">
        <v>41802</v>
      </c>
      <c r="J277" s="18" t="s">
        <v>11</v>
      </c>
      <c r="K277" s="18" t="s">
        <v>1408</v>
      </c>
      <c r="L277" s="18" t="s">
        <v>7649</v>
      </c>
      <c r="M277" s="18"/>
      <c r="N277" s="18" t="s">
        <v>10</v>
      </c>
      <c r="O277" s="18" t="s">
        <v>10</v>
      </c>
      <c r="P277" s="18" t="s">
        <v>7650</v>
      </c>
      <c r="Q277" s="18" t="s">
        <v>7651</v>
      </c>
      <c r="R277" s="18" t="s">
        <v>7652</v>
      </c>
      <c r="S277" s="1" t="s">
        <v>6244</v>
      </c>
      <c r="T277" s="1">
        <f t="shared" si="14"/>
        <v>323</v>
      </c>
      <c r="U277" s="1">
        <f t="shared" si="15"/>
        <v>224</v>
      </c>
      <c r="V277" s="1">
        <v>224</v>
      </c>
      <c r="AH277" s="1">
        <f t="shared" si="16"/>
        <v>99</v>
      </c>
      <c r="AI277" s="1">
        <v>50</v>
      </c>
      <c r="AJ277" s="1">
        <v>13</v>
      </c>
      <c r="AK277" s="1">
        <v>29</v>
      </c>
      <c r="AR277" s="1">
        <v>7</v>
      </c>
    </row>
    <row r="278" spans="1:44" x14ac:dyDescent="0.2">
      <c r="A278" s="18" t="s">
        <v>3068</v>
      </c>
      <c r="B278" s="18">
        <v>22863731</v>
      </c>
      <c r="C278" s="18" t="s">
        <v>7421</v>
      </c>
      <c r="D278" s="18"/>
      <c r="E278" s="19">
        <v>7</v>
      </c>
      <c r="F278" s="18"/>
      <c r="G278" s="18" t="s">
        <v>10679</v>
      </c>
      <c r="H278" s="18" t="s">
        <v>10680</v>
      </c>
      <c r="I278" s="24">
        <v>41126</v>
      </c>
      <c r="J278" s="18" t="s">
        <v>11</v>
      </c>
      <c r="K278" s="18" t="s">
        <v>28</v>
      </c>
      <c r="L278" s="18" t="s">
        <v>10681</v>
      </c>
      <c r="M278" s="18"/>
      <c r="N278" s="18" t="s">
        <v>10</v>
      </c>
      <c r="O278" s="18" t="s">
        <v>10</v>
      </c>
      <c r="P278" s="18" t="s">
        <v>10682</v>
      </c>
      <c r="Q278" s="18" t="s">
        <v>10683</v>
      </c>
      <c r="R278" s="18" t="s">
        <v>10684</v>
      </c>
      <c r="S278" s="1" t="s">
        <v>6242</v>
      </c>
      <c r="T278" s="1">
        <f t="shared" si="14"/>
        <v>1693</v>
      </c>
      <c r="U278" s="1">
        <f t="shared" si="15"/>
        <v>1239</v>
      </c>
      <c r="X278" s="1">
        <f>69+1170</f>
        <v>1239</v>
      </c>
      <c r="AH278" s="1">
        <f t="shared" si="16"/>
        <v>454</v>
      </c>
      <c r="AK278" s="1">
        <v>454</v>
      </c>
    </row>
    <row r="279" spans="1:44" x14ac:dyDescent="0.2">
      <c r="A279" s="18" t="s">
        <v>8379</v>
      </c>
      <c r="B279" s="18">
        <v>22863734</v>
      </c>
      <c r="C279" s="18" t="s">
        <v>7421</v>
      </c>
      <c r="D279" s="18"/>
      <c r="E279" s="19">
        <v>434</v>
      </c>
      <c r="F279" s="18"/>
      <c r="G279" s="18" t="s">
        <v>8380</v>
      </c>
      <c r="H279" s="18" t="s">
        <v>6797</v>
      </c>
      <c r="I279" s="24">
        <v>41126</v>
      </c>
      <c r="J279" s="18" t="s">
        <v>11</v>
      </c>
      <c r="K279" s="18" t="s">
        <v>28</v>
      </c>
      <c r="L279" s="18" t="s">
        <v>8381</v>
      </c>
      <c r="M279" s="18"/>
      <c r="N279" s="18" t="s">
        <v>10</v>
      </c>
      <c r="O279" s="18" t="s">
        <v>10</v>
      </c>
      <c r="P279" s="18" t="s">
        <v>8382</v>
      </c>
      <c r="Q279" s="18" t="s">
        <v>8383</v>
      </c>
      <c r="R279" s="18" t="s">
        <v>10931</v>
      </c>
      <c r="S279" s="1" t="s">
        <v>6244</v>
      </c>
      <c r="T279" s="1">
        <f t="shared" si="14"/>
        <v>3178</v>
      </c>
      <c r="U279" s="1">
        <f t="shared" si="15"/>
        <v>2383</v>
      </c>
      <c r="V279" s="1">
        <f>666+399+1318</f>
        <v>2383</v>
      </c>
      <c r="AH279" s="1">
        <f t="shared" si="16"/>
        <v>795</v>
      </c>
      <c r="AK279" s="1">
        <v>795</v>
      </c>
    </row>
    <row r="280" spans="1:44" x14ac:dyDescent="0.2">
      <c r="A280" s="18" t="s">
        <v>227</v>
      </c>
      <c r="B280" s="18">
        <v>22864923</v>
      </c>
      <c r="C280" s="18" t="s">
        <v>7421</v>
      </c>
      <c r="D280" s="18"/>
      <c r="E280" s="19">
        <v>13</v>
      </c>
      <c r="F280" s="18"/>
      <c r="G280" s="18" t="s">
        <v>9219</v>
      </c>
      <c r="H280" s="18" t="s">
        <v>8441</v>
      </c>
      <c r="I280" s="24">
        <v>41124</v>
      </c>
      <c r="J280" s="18" t="s">
        <v>11</v>
      </c>
      <c r="K280" s="18" t="s">
        <v>6574</v>
      </c>
      <c r="L280" s="18" t="s">
        <v>9220</v>
      </c>
      <c r="M280" s="18"/>
      <c r="N280" s="18" t="s">
        <v>11</v>
      </c>
      <c r="O280" s="18" t="s">
        <v>11</v>
      </c>
      <c r="P280" s="18" t="s">
        <v>9221</v>
      </c>
      <c r="Q280" s="18" t="s">
        <v>9222</v>
      </c>
      <c r="R280" s="18" t="s">
        <v>9223</v>
      </c>
      <c r="S280" s="1" t="s">
        <v>6242</v>
      </c>
      <c r="T280" s="1">
        <f t="shared" si="14"/>
        <v>3495</v>
      </c>
      <c r="U280" s="1">
        <f t="shared" si="15"/>
        <v>1999</v>
      </c>
      <c r="X280" s="1">
        <v>1999</v>
      </c>
      <c r="AH280" s="1">
        <f t="shared" si="16"/>
        <v>1496</v>
      </c>
      <c r="AK280" s="1">
        <v>1496</v>
      </c>
    </row>
    <row r="281" spans="1:44" x14ac:dyDescent="0.2">
      <c r="A281" s="18" t="s">
        <v>254</v>
      </c>
      <c r="B281" s="18">
        <v>22864933</v>
      </c>
      <c r="C281" s="18" t="s">
        <v>7421</v>
      </c>
      <c r="D281" s="18"/>
      <c r="E281" s="19">
        <v>26</v>
      </c>
      <c r="F281" s="18"/>
      <c r="G281" s="18" t="s">
        <v>8251</v>
      </c>
      <c r="H281" s="18" t="s">
        <v>8252</v>
      </c>
      <c r="I281" s="24">
        <v>41136</v>
      </c>
      <c r="J281" s="18" t="s">
        <v>11</v>
      </c>
      <c r="K281" s="18" t="s">
        <v>3244</v>
      </c>
      <c r="L281" s="18" t="s">
        <v>8253</v>
      </c>
      <c r="M281" s="18"/>
      <c r="N281" s="18" t="s">
        <v>10</v>
      </c>
      <c r="O281" s="18" t="s">
        <v>10</v>
      </c>
      <c r="P281" s="18" t="s">
        <v>8254</v>
      </c>
      <c r="Q281" s="18" t="s">
        <v>33</v>
      </c>
      <c r="R281" s="18" t="s">
        <v>10929</v>
      </c>
      <c r="S281" s="1" t="s">
        <v>6244</v>
      </c>
      <c r="T281" s="1">
        <f t="shared" si="14"/>
        <v>503</v>
      </c>
      <c r="U281" s="1">
        <f t="shared" si="15"/>
        <v>503</v>
      </c>
      <c r="V281" s="1">
        <v>164</v>
      </c>
      <c r="W281" s="1">
        <f>173+82</f>
        <v>255</v>
      </c>
      <c r="X281" s="1">
        <v>84</v>
      </c>
    </row>
    <row r="282" spans="1:44" x14ac:dyDescent="0.2">
      <c r="A282" s="18" t="s">
        <v>7615</v>
      </c>
      <c r="B282" s="18">
        <v>22865056</v>
      </c>
      <c r="C282" s="18" t="s">
        <v>7421</v>
      </c>
      <c r="D282" s="18"/>
      <c r="E282" s="19">
        <v>6</v>
      </c>
      <c r="F282" s="18"/>
      <c r="G282" s="18" t="s">
        <v>89</v>
      </c>
      <c r="H282" s="18" t="s">
        <v>7126</v>
      </c>
      <c r="I282" s="24">
        <v>41124</v>
      </c>
      <c r="J282" s="18" t="s">
        <v>10</v>
      </c>
      <c r="K282" s="18" t="s">
        <v>7616</v>
      </c>
      <c r="L282" s="18" t="s">
        <v>7617</v>
      </c>
      <c r="M282" s="18"/>
      <c r="N282" s="18" t="s">
        <v>10</v>
      </c>
      <c r="O282" s="18" t="s">
        <v>10</v>
      </c>
      <c r="P282" s="18" t="s">
        <v>7618</v>
      </c>
      <c r="Q282" s="18" t="s">
        <v>33</v>
      </c>
      <c r="R282" s="18" t="s">
        <v>7619</v>
      </c>
      <c r="S282" s="1" t="s">
        <v>6243</v>
      </c>
      <c r="T282" s="1">
        <f t="shared" si="14"/>
        <v>742</v>
      </c>
      <c r="U282" s="1">
        <f t="shared" si="15"/>
        <v>742</v>
      </c>
      <c r="V282" s="1">
        <v>742</v>
      </c>
    </row>
    <row r="283" spans="1:44" x14ac:dyDescent="0.2">
      <c r="A283" s="18" t="s">
        <v>3185</v>
      </c>
      <c r="B283" s="18">
        <v>22869035</v>
      </c>
      <c r="C283" s="18" t="s">
        <v>7421</v>
      </c>
      <c r="D283" s="18"/>
      <c r="E283" s="19">
        <v>118</v>
      </c>
      <c r="F283" s="18"/>
      <c r="G283" s="18" t="s">
        <v>10072</v>
      </c>
      <c r="H283" s="18" t="s">
        <v>179</v>
      </c>
      <c r="I283" s="24">
        <v>41128</v>
      </c>
      <c r="J283" s="18" t="s">
        <v>11</v>
      </c>
      <c r="K283" s="18" t="s">
        <v>71</v>
      </c>
      <c r="L283" s="18" t="s">
        <v>10077</v>
      </c>
      <c r="M283" s="18"/>
      <c r="N283" s="18" t="s">
        <v>10</v>
      </c>
      <c r="O283" s="18" t="s">
        <v>10</v>
      </c>
      <c r="P283" s="18" t="s">
        <v>10078</v>
      </c>
      <c r="Q283" s="18" t="s">
        <v>10079</v>
      </c>
      <c r="R283" s="18" t="s">
        <v>10080</v>
      </c>
      <c r="S283" s="1" t="s">
        <v>6244</v>
      </c>
      <c r="T283" s="1">
        <f t="shared" si="14"/>
        <v>1096</v>
      </c>
      <c r="U283" s="1">
        <f t="shared" si="15"/>
        <v>491</v>
      </c>
      <c r="V283" s="1">
        <f>295+196</f>
        <v>491</v>
      </c>
      <c r="AH283" s="1">
        <f>SUM(AI283:AT283)</f>
        <v>605</v>
      </c>
      <c r="AJ283" s="1">
        <f>143+462</f>
        <v>605</v>
      </c>
    </row>
    <row r="284" spans="1:44" x14ac:dyDescent="0.2">
      <c r="A284" s="18" t="s">
        <v>2181</v>
      </c>
      <c r="B284" s="18">
        <v>22872573</v>
      </c>
      <c r="C284" s="18" t="s">
        <v>7421</v>
      </c>
      <c r="D284" s="18"/>
      <c r="E284" s="19">
        <v>33</v>
      </c>
      <c r="F284" s="18"/>
      <c r="G284" s="18" t="s">
        <v>9460</v>
      </c>
      <c r="H284" s="18" t="s">
        <v>7090</v>
      </c>
      <c r="I284" s="24">
        <v>41128</v>
      </c>
      <c r="J284" s="18" t="s">
        <v>11</v>
      </c>
      <c r="K284" s="18" t="s">
        <v>2053</v>
      </c>
      <c r="L284" s="18" t="s">
        <v>9461</v>
      </c>
      <c r="M284" s="18"/>
      <c r="N284" s="18" t="s">
        <v>10</v>
      </c>
      <c r="O284" s="18" t="s">
        <v>10</v>
      </c>
      <c r="P284" s="18" t="s">
        <v>9462</v>
      </c>
      <c r="Q284" s="18" t="s">
        <v>9463</v>
      </c>
      <c r="R284" s="18" t="s">
        <v>9464</v>
      </c>
      <c r="S284" s="1" t="s">
        <v>6244</v>
      </c>
      <c r="T284" s="1">
        <f t="shared" si="14"/>
        <v>1277</v>
      </c>
      <c r="U284" s="1">
        <f t="shared" si="15"/>
        <v>528</v>
      </c>
      <c r="X284" s="1">
        <v>528</v>
      </c>
      <c r="AH284" s="1">
        <f>SUM(AI284:AT284)</f>
        <v>749</v>
      </c>
      <c r="AI284" s="1">
        <v>409</v>
      </c>
      <c r="AK284" s="1">
        <v>340</v>
      </c>
    </row>
    <row r="285" spans="1:44" x14ac:dyDescent="0.2">
      <c r="A285" s="18" t="s">
        <v>7632</v>
      </c>
      <c r="B285" s="18">
        <v>22881374</v>
      </c>
      <c r="C285" s="18" t="s">
        <v>7421</v>
      </c>
      <c r="D285" s="18"/>
      <c r="E285" s="19">
        <v>18</v>
      </c>
      <c r="F285" s="18"/>
      <c r="G285" s="18" t="s">
        <v>128</v>
      </c>
      <c r="H285" s="18" t="s">
        <v>7126</v>
      </c>
      <c r="I285" s="24">
        <v>41106</v>
      </c>
      <c r="J285" s="18" t="s">
        <v>11</v>
      </c>
      <c r="K285" s="18" t="s">
        <v>906</v>
      </c>
      <c r="L285" s="18" t="s">
        <v>7633</v>
      </c>
      <c r="M285" s="18"/>
      <c r="N285" s="18" t="s">
        <v>10</v>
      </c>
      <c r="O285" s="18" t="s">
        <v>10</v>
      </c>
      <c r="P285" s="18" t="s">
        <v>7634</v>
      </c>
      <c r="Q285" s="18" t="s">
        <v>33</v>
      </c>
      <c r="R285" s="18" t="s">
        <v>7635</v>
      </c>
      <c r="S285" s="1" t="s">
        <v>6243</v>
      </c>
      <c r="T285" s="1">
        <f t="shared" si="14"/>
        <v>798</v>
      </c>
      <c r="U285" s="1">
        <f t="shared" si="15"/>
        <v>798</v>
      </c>
      <c r="V285" s="1">
        <f>109+689</f>
        <v>798</v>
      </c>
    </row>
    <row r="286" spans="1:44" x14ac:dyDescent="0.2">
      <c r="A286" s="18" t="s">
        <v>1839</v>
      </c>
      <c r="B286" s="18">
        <v>22883433</v>
      </c>
      <c r="C286" s="18" t="s">
        <v>7421</v>
      </c>
      <c r="D286" s="18"/>
      <c r="E286" s="19">
        <v>125</v>
      </c>
      <c r="F286" s="18"/>
      <c r="G286" s="18" t="s">
        <v>74</v>
      </c>
      <c r="H286" s="18" t="s">
        <v>2545</v>
      </c>
      <c r="I286" s="24">
        <v>41197</v>
      </c>
      <c r="J286" s="18" t="s">
        <v>11</v>
      </c>
      <c r="K286" s="18" t="s">
        <v>1128</v>
      </c>
      <c r="L286" s="18" t="s">
        <v>10414</v>
      </c>
      <c r="M286" s="18"/>
      <c r="N286" s="18" t="s">
        <v>10</v>
      </c>
      <c r="O286" s="18" t="s">
        <v>10</v>
      </c>
      <c r="P286" s="18" t="s">
        <v>10415</v>
      </c>
      <c r="Q286" s="18" t="s">
        <v>10416</v>
      </c>
      <c r="R286" s="18" t="s">
        <v>10417</v>
      </c>
      <c r="S286" s="1" t="s">
        <v>6243</v>
      </c>
      <c r="T286" s="1">
        <f t="shared" si="14"/>
        <v>47616</v>
      </c>
      <c r="U286" s="1">
        <f t="shared" si="15"/>
        <v>3400</v>
      </c>
      <c r="V286" s="1">
        <f>1606+1794</f>
        <v>3400</v>
      </c>
      <c r="AH286" s="1">
        <f>SUM(AI286:AT286)</f>
        <v>44216</v>
      </c>
      <c r="AI286" s="1">
        <f>13195+31021</f>
        <v>44216</v>
      </c>
    </row>
    <row r="287" spans="1:44" x14ac:dyDescent="0.2">
      <c r="A287" s="18" t="s">
        <v>10418</v>
      </c>
      <c r="B287" s="18">
        <v>22885689</v>
      </c>
      <c r="C287" s="18" t="s">
        <v>7421</v>
      </c>
      <c r="D287" s="18"/>
      <c r="E287" s="19">
        <v>223</v>
      </c>
      <c r="F287" s="18"/>
      <c r="G287" s="18" t="s">
        <v>74</v>
      </c>
      <c r="H287" s="18" t="s">
        <v>2545</v>
      </c>
      <c r="I287" s="24">
        <v>41167</v>
      </c>
      <c r="J287" s="18" t="s">
        <v>11</v>
      </c>
      <c r="K287" s="18" t="s">
        <v>879</v>
      </c>
      <c r="L287" s="18" t="s">
        <v>10419</v>
      </c>
      <c r="M287" s="18"/>
      <c r="N287" s="18" t="s">
        <v>10</v>
      </c>
      <c r="O287" s="18" t="s">
        <v>10</v>
      </c>
      <c r="P287" s="18" t="s">
        <v>10420</v>
      </c>
      <c r="Q287" s="18" t="s">
        <v>33</v>
      </c>
      <c r="R287" s="18" t="s">
        <v>10421</v>
      </c>
      <c r="S287" s="1" t="s">
        <v>6244</v>
      </c>
      <c r="T287" s="1">
        <f t="shared" si="14"/>
        <v>2461</v>
      </c>
      <c r="U287" s="1">
        <f t="shared" si="15"/>
        <v>2461</v>
      </c>
      <c r="V287" s="1">
        <f>1218+990</f>
        <v>2208</v>
      </c>
      <c r="AE287" s="1">
        <f>139+114</f>
        <v>253</v>
      </c>
    </row>
    <row r="288" spans="1:44" x14ac:dyDescent="0.2">
      <c r="A288" s="18" t="s">
        <v>10782</v>
      </c>
      <c r="B288" s="18">
        <v>22885922</v>
      </c>
      <c r="C288" s="18" t="s">
        <v>7421</v>
      </c>
      <c r="D288" s="18"/>
      <c r="E288" s="19">
        <v>377</v>
      </c>
      <c r="F288" s="18"/>
      <c r="G288" s="18" t="s">
        <v>61</v>
      </c>
      <c r="H288" s="18" t="s">
        <v>7396</v>
      </c>
      <c r="I288" s="24">
        <v>41894</v>
      </c>
      <c r="J288" s="18" t="s">
        <v>10</v>
      </c>
      <c r="K288" s="18" t="s">
        <v>28</v>
      </c>
      <c r="L288" s="18" t="s">
        <v>10783</v>
      </c>
      <c r="M288" s="18"/>
      <c r="N288" s="18" t="s">
        <v>10</v>
      </c>
      <c r="O288" s="18" t="s">
        <v>10</v>
      </c>
      <c r="P288" s="18" t="s">
        <v>10784</v>
      </c>
      <c r="Q288" s="18" t="s">
        <v>10785</v>
      </c>
      <c r="R288" s="18" t="s">
        <v>10965</v>
      </c>
      <c r="S288" s="1" t="s">
        <v>6244</v>
      </c>
      <c r="T288" s="1">
        <f t="shared" si="14"/>
        <v>146171</v>
      </c>
      <c r="U288" s="1">
        <f t="shared" si="15"/>
        <v>69033</v>
      </c>
      <c r="AD288" s="1">
        <f>12171+56862</f>
        <v>69033</v>
      </c>
      <c r="AH288" s="1">
        <f>SUM(AI288:AT288)</f>
        <v>77138</v>
      </c>
      <c r="AQ288" s="1">
        <f>21491+55647</f>
        <v>77138</v>
      </c>
    </row>
    <row r="289" spans="1:39" x14ac:dyDescent="0.2">
      <c r="A289" s="18" t="s">
        <v>99</v>
      </c>
      <c r="B289" s="18">
        <v>22885924</v>
      </c>
      <c r="C289" s="18" t="s">
        <v>7421</v>
      </c>
      <c r="D289" s="18"/>
      <c r="E289" s="19">
        <v>321</v>
      </c>
      <c r="F289" s="18"/>
      <c r="G289" s="18" t="s">
        <v>8836</v>
      </c>
      <c r="H289" s="18" t="s">
        <v>7382</v>
      </c>
      <c r="I289" s="24">
        <v>41894</v>
      </c>
      <c r="J289" s="18" t="s">
        <v>10</v>
      </c>
      <c r="K289" s="18" t="s">
        <v>28</v>
      </c>
      <c r="L289" s="18" t="s">
        <v>8837</v>
      </c>
      <c r="M289" s="18"/>
      <c r="N289" s="18" t="s">
        <v>10</v>
      </c>
      <c r="O289" s="18" t="s">
        <v>10</v>
      </c>
      <c r="P289" s="18" t="s">
        <v>8838</v>
      </c>
      <c r="Q289" s="18" t="s">
        <v>33</v>
      </c>
      <c r="R289" s="18" t="s">
        <v>8839</v>
      </c>
      <c r="S289" s="1" t="s">
        <v>6243</v>
      </c>
      <c r="T289" s="1">
        <f t="shared" si="14"/>
        <v>133010</v>
      </c>
      <c r="U289" s="1">
        <f t="shared" si="15"/>
        <v>133010</v>
      </c>
      <c r="V289" s="1">
        <v>133010</v>
      </c>
    </row>
    <row r="290" spans="1:39" x14ac:dyDescent="0.2">
      <c r="A290" s="18" t="s">
        <v>1298</v>
      </c>
      <c r="B290" s="18">
        <v>22885925</v>
      </c>
      <c r="C290" s="18" t="s">
        <v>7421</v>
      </c>
      <c r="D290" s="18"/>
      <c r="E290" s="19">
        <v>71</v>
      </c>
      <c r="F290" s="18"/>
      <c r="G290" s="18" t="s">
        <v>1998</v>
      </c>
      <c r="H290" s="18" t="s">
        <v>6687</v>
      </c>
      <c r="I290" s="24">
        <v>41894</v>
      </c>
      <c r="J290" s="18" t="s">
        <v>11</v>
      </c>
      <c r="K290" s="18" t="s">
        <v>28</v>
      </c>
      <c r="L290" s="18" t="s">
        <v>10063</v>
      </c>
      <c r="M290" s="18"/>
      <c r="N290" s="18" t="s">
        <v>11</v>
      </c>
      <c r="O290" s="18" t="s">
        <v>11</v>
      </c>
      <c r="P290" s="18" t="s">
        <v>10064</v>
      </c>
      <c r="Q290" s="18" t="s">
        <v>10065</v>
      </c>
      <c r="R290" s="18" t="s">
        <v>10956</v>
      </c>
      <c r="S290" s="1" t="s">
        <v>6242</v>
      </c>
      <c r="T290" s="1">
        <f t="shared" si="14"/>
        <v>21059</v>
      </c>
      <c r="U290" s="1">
        <f t="shared" si="15"/>
        <v>5255</v>
      </c>
      <c r="X290" s="1">
        <f>2254+3001</f>
        <v>5255</v>
      </c>
      <c r="AH290" s="1">
        <f>SUM(AI290:AT290)</f>
        <v>15804</v>
      </c>
      <c r="AK290" s="1">
        <f>8226+7578</f>
        <v>15804</v>
      </c>
    </row>
    <row r="291" spans="1:39" x14ac:dyDescent="0.2">
      <c r="A291" s="18" t="s">
        <v>9031</v>
      </c>
      <c r="B291" s="18">
        <v>22886559</v>
      </c>
      <c r="C291" s="18" t="s">
        <v>7421</v>
      </c>
      <c r="D291" s="18"/>
      <c r="E291" s="19">
        <v>204</v>
      </c>
      <c r="F291" s="18"/>
      <c r="G291" s="18" t="s">
        <v>981</v>
      </c>
      <c r="H291" s="18" t="s">
        <v>436</v>
      </c>
      <c r="I291" s="24">
        <v>41985</v>
      </c>
      <c r="J291" s="18" t="s">
        <v>11</v>
      </c>
      <c r="K291" s="18" t="s">
        <v>595</v>
      </c>
      <c r="L291" s="18" t="s">
        <v>9032</v>
      </c>
      <c r="M291" s="18"/>
      <c r="N291" s="18" t="s">
        <v>10</v>
      </c>
      <c r="O291" s="18" t="s">
        <v>10</v>
      </c>
      <c r="P291" s="18" t="s">
        <v>9033</v>
      </c>
      <c r="Q291" s="18" t="s">
        <v>9034</v>
      </c>
      <c r="R291" s="18" t="s">
        <v>9035</v>
      </c>
      <c r="S291" s="1" t="s">
        <v>6243</v>
      </c>
      <c r="T291" s="1">
        <f t="shared" si="14"/>
        <v>23427</v>
      </c>
      <c r="U291" s="1">
        <f t="shared" si="15"/>
        <v>6811</v>
      </c>
      <c r="V291" s="1">
        <f>1856+4955</f>
        <v>6811</v>
      </c>
      <c r="AH291" s="1">
        <f>SUM(AI291:AT291)</f>
        <v>16616</v>
      </c>
      <c r="AI291" s="1">
        <f>5015+11601</f>
        <v>16616</v>
      </c>
    </row>
    <row r="292" spans="1:39" x14ac:dyDescent="0.2">
      <c r="A292" s="18" t="s">
        <v>1135</v>
      </c>
      <c r="B292" s="18">
        <v>22889377</v>
      </c>
      <c r="C292" s="18" t="s">
        <v>7421</v>
      </c>
      <c r="D292" s="18"/>
      <c r="E292" s="19">
        <v>6</v>
      </c>
      <c r="F292" s="18"/>
      <c r="G292" s="18" t="s">
        <v>10389</v>
      </c>
      <c r="H292" s="18" t="s">
        <v>6817</v>
      </c>
      <c r="I292" s="24">
        <v>41134</v>
      </c>
      <c r="J292" s="18" t="s">
        <v>10</v>
      </c>
      <c r="K292" s="18" t="s">
        <v>10390</v>
      </c>
      <c r="L292" s="18" t="s">
        <v>10391</v>
      </c>
      <c r="M292" s="18"/>
      <c r="N292" s="18" t="s">
        <v>10</v>
      </c>
      <c r="O292" s="18" t="s">
        <v>10</v>
      </c>
      <c r="P292" s="18" t="s">
        <v>10392</v>
      </c>
      <c r="Q292" s="18" t="s">
        <v>33</v>
      </c>
      <c r="R292" s="18" t="s">
        <v>10393</v>
      </c>
      <c r="S292" s="1" t="s">
        <v>6242</v>
      </c>
      <c r="T292" s="1">
        <f t="shared" si="14"/>
        <v>1222</v>
      </c>
      <c r="U292" s="1">
        <f t="shared" si="15"/>
        <v>1222</v>
      </c>
      <c r="X292" s="1">
        <v>1222</v>
      </c>
    </row>
    <row r="293" spans="1:39" x14ac:dyDescent="0.2">
      <c r="A293" s="18" t="s">
        <v>9841</v>
      </c>
      <c r="B293" s="18">
        <v>22889921</v>
      </c>
      <c r="C293" s="18" t="s">
        <v>7421</v>
      </c>
      <c r="D293" s="18"/>
      <c r="E293" s="19">
        <v>2361</v>
      </c>
      <c r="F293" s="18"/>
      <c r="G293" s="18" t="s">
        <v>9842</v>
      </c>
      <c r="H293" s="18" t="s">
        <v>9843</v>
      </c>
      <c r="I293" s="24">
        <v>41135</v>
      </c>
      <c r="J293" s="18" t="s">
        <v>11</v>
      </c>
      <c r="K293" s="18" t="s">
        <v>71</v>
      </c>
      <c r="L293" s="18" t="s">
        <v>9844</v>
      </c>
      <c r="M293" s="18"/>
      <c r="N293" s="18" t="s">
        <v>10</v>
      </c>
      <c r="O293" s="18" t="s">
        <v>10</v>
      </c>
      <c r="P293" s="18" t="s">
        <v>9845</v>
      </c>
      <c r="Q293" s="18" t="s">
        <v>33</v>
      </c>
      <c r="R293" s="18" t="s">
        <v>9846</v>
      </c>
      <c r="S293" s="1" t="s">
        <v>6243</v>
      </c>
      <c r="T293" s="1">
        <f t="shared" si="14"/>
        <v>7422</v>
      </c>
      <c r="U293" s="1">
        <f t="shared" si="15"/>
        <v>7422</v>
      </c>
      <c r="V293" s="1">
        <f>1279+5139+93+158+93+260+299+101</f>
        <v>7422</v>
      </c>
    </row>
    <row r="294" spans="1:39" x14ac:dyDescent="0.2">
      <c r="A294" s="18" t="s">
        <v>10691</v>
      </c>
      <c r="B294" s="18">
        <v>22889924</v>
      </c>
      <c r="C294" s="18" t="s">
        <v>7421</v>
      </c>
      <c r="D294" s="18"/>
      <c r="E294" s="19">
        <v>2486</v>
      </c>
      <c r="F294" s="18"/>
      <c r="G294" s="18" t="s">
        <v>10692</v>
      </c>
      <c r="H294" s="18" t="s">
        <v>179</v>
      </c>
      <c r="I294" s="24">
        <v>41135</v>
      </c>
      <c r="J294" s="18" t="s">
        <v>11</v>
      </c>
      <c r="K294" s="18" t="s">
        <v>71</v>
      </c>
      <c r="L294" s="18" t="s">
        <v>10693</v>
      </c>
      <c r="M294" s="18"/>
      <c r="N294" s="18" t="s">
        <v>10</v>
      </c>
      <c r="O294" s="18" t="s">
        <v>10</v>
      </c>
      <c r="P294" s="18" t="s">
        <v>10694</v>
      </c>
      <c r="Q294" s="18" t="s">
        <v>10695</v>
      </c>
      <c r="R294" s="18" t="s">
        <v>10696</v>
      </c>
      <c r="S294" s="1" t="s">
        <v>6244</v>
      </c>
      <c r="T294" s="1">
        <f t="shared" si="14"/>
        <v>6745</v>
      </c>
      <c r="U294" s="1">
        <f t="shared" si="15"/>
        <v>6249</v>
      </c>
      <c r="V294" s="1">
        <f>778+4414+242+354+265+196</f>
        <v>6249</v>
      </c>
      <c r="AH294" s="1">
        <f>SUM(AI294:AT294)</f>
        <v>496</v>
      </c>
      <c r="AM294" s="1">
        <f>211+285</f>
        <v>496</v>
      </c>
    </row>
    <row r="295" spans="1:39" x14ac:dyDescent="0.2">
      <c r="A295" s="18" t="s">
        <v>10289</v>
      </c>
      <c r="B295" s="18">
        <v>22890011</v>
      </c>
      <c r="C295" s="18" t="s">
        <v>7421</v>
      </c>
      <c r="D295" s="18"/>
      <c r="E295" s="19">
        <v>46</v>
      </c>
      <c r="F295" s="18"/>
      <c r="G295" s="18" t="s">
        <v>10290</v>
      </c>
      <c r="H295" s="18" t="s">
        <v>7312</v>
      </c>
      <c r="I295" s="24">
        <v>41924</v>
      </c>
      <c r="J295" s="18" t="s">
        <v>11</v>
      </c>
      <c r="K295" s="18" t="s">
        <v>294</v>
      </c>
      <c r="L295" s="18" t="s">
        <v>10291</v>
      </c>
      <c r="M295" s="18"/>
      <c r="N295" s="18" t="s">
        <v>10</v>
      </c>
      <c r="O295" s="18" t="s">
        <v>10</v>
      </c>
      <c r="P295" s="18" t="s">
        <v>10292</v>
      </c>
      <c r="Q295" s="18" t="s">
        <v>33</v>
      </c>
      <c r="R295" s="18" t="s">
        <v>10293</v>
      </c>
      <c r="S295" s="1" t="s">
        <v>6243</v>
      </c>
      <c r="T295" s="1">
        <f t="shared" si="14"/>
        <v>817</v>
      </c>
      <c r="U295" s="1">
        <f t="shared" si="15"/>
        <v>817</v>
      </c>
      <c r="V295" s="1">
        <v>817</v>
      </c>
    </row>
    <row r="296" spans="1:39" x14ac:dyDescent="0.2">
      <c r="A296" s="18" t="s">
        <v>9891</v>
      </c>
      <c r="B296" s="18">
        <v>22891074</v>
      </c>
      <c r="C296" s="18" t="s">
        <v>7421</v>
      </c>
      <c r="D296" s="18"/>
      <c r="E296" s="19">
        <v>2</v>
      </c>
      <c r="F296" s="18"/>
      <c r="G296" s="18" t="s">
        <v>9892</v>
      </c>
      <c r="H296" s="18" t="s">
        <v>9893</v>
      </c>
      <c r="I296" s="24">
        <v>41863</v>
      </c>
      <c r="J296" s="18" t="s">
        <v>10</v>
      </c>
      <c r="K296" s="18" t="s">
        <v>6575</v>
      </c>
      <c r="L296" s="18" t="s">
        <v>9894</v>
      </c>
      <c r="M296" s="18"/>
      <c r="N296" s="18" t="s">
        <v>11</v>
      </c>
      <c r="O296" s="18" t="s">
        <v>11</v>
      </c>
      <c r="P296" s="18" t="s">
        <v>9895</v>
      </c>
      <c r="Q296" s="18" t="s">
        <v>33</v>
      </c>
      <c r="R296" s="18" t="s">
        <v>9896</v>
      </c>
      <c r="S296" s="1" t="s">
        <v>6244</v>
      </c>
      <c r="T296" s="1">
        <f t="shared" si="14"/>
        <v>1056</v>
      </c>
      <c r="U296" s="1">
        <f t="shared" si="15"/>
        <v>1056</v>
      </c>
      <c r="AD296" s="1">
        <v>1056</v>
      </c>
    </row>
    <row r="297" spans="1:39" x14ac:dyDescent="0.2">
      <c r="A297" s="18" t="s">
        <v>9542</v>
      </c>
      <c r="B297" s="18">
        <v>22895189</v>
      </c>
      <c r="C297" s="18" t="s">
        <v>7421</v>
      </c>
      <c r="D297" s="18"/>
      <c r="E297" s="19">
        <v>46</v>
      </c>
      <c r="F297" s="18"/>
      <c r="G297" s="18" t="s">
        <v>9543</v>
      </c>
      <c r="H297" s="18" t="s">
        <v>904</v>
      </c>
      <c r="I297" s="24">
        <v>41172</v>
      </c>
      <c r="J297" s="18" t="s">
        <v>11</v>
      </c>
      <c r="K297" s="18" t="s">
        <v>58</v>
      </c>
      <c r="L297" s="18" t="s">
        <v>9544</v>
      </c>
      <c r="M297" s="18"/>
      <c r="N297" s="18" t="s">
        <v>10</v>
      </c>
      <c r="O297" s="18" t="s">
        <v>10</v>
      </c>
      <c r="P297" s="18" t="s">
        <v>9545</v>
      </c>
      <c r="Q297" s="18" t="s">
        <v>9546</v>
      </c>
      <c r="R297" s="18" t="s">
        <v>9547</v>
      </c>
      <c r="S297" s="1" t="s">
        <v>6440</v>
      </c>
      <c r="T297" s="1">
        <f t="shared" si="14"/>
        <v>7908</v>
      </c>
      <c r="U297" s="1">
        <f t="shared" si="15"/>
        <v>2153</v>
      </c>
      <c r="W297" s="1">
        <f>1325+828</f>
        <v>2153</v>
      </c>
      <c r="AH297" s="1">
        <f>SUM(AI297:AT297)</f>
        <v>5755</v>
      </c>
      <c r="AJ297" s="1">
        <f>2229+3526</f>
        <v>5755</v>
      </c>
    </row>
    <row r="298" spans="1:39" x14ac:dyDescent="0.2">
      <c r="A298" s="18" t="s">
        <v>9433</v>
      </c>
      <c r="B298" s="18">
        <v>22899653</v>
      </c>
      <c r="C298" s="18" t="s">
        <v>7421</v>
      </c>
      <c r="D298" s="18"/>
      <c r="E298" s="19">
        <v>170</v>
      </c>
      <c r="F298" s="18"/>
      <c r="G298" s="18" t="s">
        <v>54</v>
      </c>
      <c r="H298" s="18" t="s">
        <v>1809</v>
      </c>
      <c r="I298" s="24">
        <v>41228</v>
      </c>
      <c r="J298" s="18" t="s">
        <v>11</v>
      </c>
      <c r="K298" s="18" t="s">
        <v>103</v>
      </c>
      <c r="L298" s="18" t="s">
        <v>9434</v>
      </c>
      <c r="M298" s="18"/>
      <c r="N298" s="18" t="s">
        <v>10</v>
      </c>
      <c r="O298" s="18" t="s">
        <v>10</v>
      </c>
      <c r="P298" s="18" t="s">
        <v>9435</v>
      </c>
      <c r="Q298" s="18" t="s">
        <v>9436</v>
      </c>
      <c r="R298" s="18" t="s">
        <v>9437</v>
      </c>
      <c r="S298" s="1" t="s">
        <v>6244</v>
      </c>
      <c r="T298" s="1">
        <f t="shared" si="14"/>
        <v>49800</v>
      </c>
      <c r="U298" s="1">
        <f t="shared" si="15"/>
        <v>44385</v>
      </c>
      <c r="V298" s="1">
        <f>14900+29485</f>
        <v>44385</v>
      </c>
      <c r="AH298" s="1">
        <f>SUM(AI298:AT298)</f>
        <v>5415</v>
      </c>
      <c r="AK298" s="1">
        <f>2338+3077</f>
        <v>5415</v>
      </c>
    </row>
    <row r="299" spans="1:39" x14ac:dyDescent="0.2">
      <c r="A299" s="18" t="s">
        <v>8129</v>
      </c>
      <c r="B299" s="18">
        <v>22903411</v>
      </c>
      <c r="C299" s="18" t="s">
        <v>7421</v>
      </c>
      <c r="D299" s="18">
        <v>1</v>
      </c>
      <c r="E299" s="19">
        <v>0</v>
      </c>
      <c r="F299" s="18"/>
      <c r="G299" s="18" t="s">
        <v>8130</v>
      </c>
      <c r="H299" s="18" t="s">
        <v>8124</v>
      </c>
      <c r="I299" s="24">
        <v>41275</v>
      </c>
      <c r="J299" s="18" t="s">
        <v>10</v>
      </c>
      <c r="K299" s="18" t="s">
        <v>8131</v>
      </c>
      <c r="L299" s="18" t="s">
        <v>8132</v>
      </c>
      <c r="M299" s="18"/>
      <c r="N299" s="18" t="s">
        <v>10</v>
      </c>
      <c r="O299" s="18" t="s">
        <v>10</v>
      </c>
      <c r="P299" s="18" t="s">
        <v>8133</v>
      </c>
      <c r="Q299" s="18" t="s">
        <v>33</v>
      </c>
      <c r="R299" s="18" t="s">
        <v>8134</v>
      </c>
      <c r="S299" s="1" t="s">
        <v>6243</v>
      </c>
      <c r="T299" s="1">
        <f t="shared" si="14"/>
        <v>366</v>
      </c>
      <c r="U299" s="1">
        <f t="shared" si="15"/>
        <v>366</v>
      </c>
      <c r="V299" s="1">
        <v>366</v>
      </c>
    </row>
    <row r="300" spans="1:39" x14ac:dyDescent="0.2">
      <c r="A300" s="18" t="s">
        <v>9356</v>
      </c>
      <c r="B300" s="18">
        <v>22903471</v>
      </c>
      <c r="C300" s="18" t="s">
        <v>7421</v>
      </c>
      <c r="D300" s="18"/>
      <c r="E300" s="19">
        <v>32</v>
      </c>
      <c r="F300" s="18"/>
      <c r="G300" s="18" t="s">
        <v>9357</v>
      </c>
      <c r="H300" s="18" t="s">
        <v>9133</v>
      </c>
      <c r="I300" s="24">
        <v>41139</v>
      </c>
      <c r="J300" s="18" t="s">
        <v>11</v>
      </c>
      <c r="K300" s="18" t="s">
        <v>7616</v>
      </c>
      <c r="L300" s="18" t="s">
        <v>9358</v>
      </c>
      <c r="M300" s="18"/>
      <c r="N300" s="18" t="s">
        <v>10</v>
      </c>
      <c r="O300" s="18" t="s">
        <v>10</v>
      </c>
      <c r="P300" s="18" t="s">
        <v>9359</v>
      </c>
      <c r="Q300" s="18" t="s">
        <v>33</v>
      </c>
      <c r="R300" s="18" t="s">
        <v>9360</v>
      </c>
      <c r="S300" s="1" t="s">
        <v>6243</v>
      </c>
      <c r="T300" s="1">
        <f t="shared" si="14"/>
        <v>1345</v>
      </c>
      <c r="U300" s="1">
        <f t="shared" si="15"/>
        <v>1345</v>
      </c>
      <c r="V300" s="1">
        <f>162+346+198+639</f>
        <v>1345</v>
      </c>
    </row>
    <row r="301" spans="1:39" x14ac:dyDescent="0.2">
      <c r="A301" s="18" t="s">
        <v>10847</v>
      </c>
      <c r="B301" s="18">
        <v>22907691</v>
      </c>
      <c r="C301" s="18" t="s">
        <v>7421</v>
      </c>
      <c r="D301" s="18"/>
      <c r="E301" s="19">
        <v>34</v>
      </c>
      <c r="F301" s="18"/>
      <c r="G301" s="18" t="s">
        <v>10848</v>
      </c>
      <c r="H301" s="18" t="s">
        <v>7211</v>
      </c>
      <c r="I301" s="24">
        <v>41142</v>
      </c>
      <c r="J301" s="18" t="s">
        <v>11</v>
      </c>
      <c r="K301" s="18" t="s">
        <v>2289</v>
      </c>
      <c r="L301" s="18" t="s">
        <v>10849</v>
      </c>
      <c r="M301" s="18"/>
      <c r="N301" s="18" t="s">
        <v>10</v>
      </c>
      <c r="O301" s="18" t="s">
        <v>10</v>
      </c>
      <c r="P301" s="18" t="s">
        <v>10850</v>
      </c>
      <c r="Q301" s="18" t="s">
        <v>10851</v>
      </c>
      <c r="R301" s="18" t="s">
        <v>10852</v>
      </c>
      <c r="S301" s="1" t="s">
        <v>6243</v>
      </c>
      <c r="T301" s="1">
        <f t="shared" si="14"/>
        <v>2632</v>
      </c>
      <c r="U301" s="1">
        <f t="shared" si="15"/>
        <v>826</v>
      </c>
      <c r="V301" s="1">
        <v>826</v>
      </c>
      <c r="AH301" s="1">
        <f>SUM(AI301:AT301)</f>
        <v>1806</v>
      </c>
      <c r="AI301" s="1">
        <f>1806</f>
        <v>1806</v>
      </c>
    </row>
    <row r="302" spans="1:39" x14ac:dyDescent="0.2">
      <c r="A302" s="18" t="s">
        <v>7451</v>
      </c>
      <c r="B302" s="18">
        <v>22907730</v>
      </c>
      <c r="C302" s="18" t="s">
        <v>7421</v>
      </c>
      <c r="D302" s="18"/>
      <c r="E302" s="19">
        <v>431</v>
      </c>
      <c r="F302" s="18"/>
      <c r="G302" s="18" t="s">
        <v>10259</v>
      </c>
      <c r="H302" s="18" t="s">
        <v>1056</v>
      </c>
      <c r="I302" s="24">
        <v>41142</v>
      </c>
      <c r="J302" s="18" t="s">
        <v>11</v>
      </c>
      <c r="K302" s="18" t="s">
        <v>113</v>
      </c>
      <c r="L302" s="18" t="s">
        <v>10260</v>
      </c>
      <c r="M302" s="18"/>
      <c r="N302" s="18" t="s">
        <v>10</v>
      </c>
      <c r="O302" s="18" t="s">
        <v>10</v>
      </c>
      <c r="P302" s="18" t="s">
        <v>10261</v>
      </c>
      <c r="Q302" s="18" t="s">
        <v>10262</v>
      </c>
      <c r="R302" s="18" t="s">
        <v>10263</v>
      </c>
      <c r="S302" s="1" t="s">
        <v>6243</v>
      </c>
      <c r="T302" s="1">
        <f t="shared" si="14"/>
        <v>1706</v>
      </c>
      <c r="U302" s="1">
        <f t="shared" si="15"/>
        <v>499</v>
      </c>
      <c r="V302" s="1">
        <v>499</v>
      </c>
      <c r="AH302" s="1">
        <f>SUM(AI302:AT302)</f>
        <v>1207</v>
      </c>
      <c r="AI302" s="1">
        <v>1207</v>
      </c>
    </row>
    <row r="303" spans="1:39" x14ac:dyDescent="0.2">
      <c r="A303" s="18" t="s">
        <v>9950</v>
      </c>
      <c r="B303" s="18">
        <v>22911860</v>
      </c>
      <c r="C303" s="18" t="s">
        <v>7421</v>
      </c>
      <c r="D303" s="18"/>
      <c r="E303" s="19">
        <v>3</v>
      </c>
      <c r="F303" s="18"/>
      <c r="G303" s="18" t="s">
        <v>9951</v>
      </c>
      <c r="H303" s="18" t="s">
        <v>7193</v>
      </c>
      <c r="I303" s="24">
        <v>41114</v>
      </c>
      <c r="J303" s="18" t="s">
        <v>11</v>
      </c>
      <c r="K303" s="18" t="s">
        <v>181</v>
      </c>
      <c r="L303" s="18" t="s">
        <v>9952</v>
      </c>
      <c r="M303" s="18"/>
      <c r="N303" s="18" t="s">
        <v>10</v>
      </c>
      <c r="O303" s="18" t="s">
        <v>10</v>
      </c>
      <c r="P303" s="18" t="s">
        <v>9953</v>
      </c>
      <c r="Q303" s="18" t="s">
        <v>33</v>
      </c>
      <c r="R303" s="18" t="s">
        <v>9954</v>
      </c>
      <c r="S303" s="1" t="s">
        <v>6243</v>
      </c>
      <c r="T303" s="1">
        <f t="shared" si="14"/>
        <v>883</v>
      </c>
      <c r="U303" s="1">
        <f t="shared" si="15"/>
        <v>883</v>
      </c>
      <c r="V303" s="1">
        <f>387+496</f>
        <v>883</v>
      </c>
    </row>
    <row r="304" spans="1:39" x14ac:dyDescent="0.2">
      <c r="A304" s="18" t="s">
        <v>8105</v>
      </c>
      <c r="B304" s="18">
        <v>22911880</v>
      </c>
      <c r="C304" s="18" t="s">
        <v>7421</v>
      </c>
      <c r="D304" s="18"/>
      <c r="E304" s="19">
        <v>64</v>
      </c>
      <c r="F304" s="18"/>
      <c r="G304" s="18" t="s">
        <v>8675</v>
      </c>
      <c r="H304" s="18" t="s">
        <v>8676</v>
      </c>
      <c r="I304" s="24">
        <v>41924</v>
      </c>
      <c r="J304" s="18" t="s">
        <v>11</v>
      </c>
      <c r="K304" s="18" t="s">
        <v>43</v>
      </c>
      <c r="L304" s="18" t="s">
        <v>8677</v>
      </c>
      <c r="M304" s="18"/>
      <c r="N304" s="18" t="s">
        <v>11</v>
      </c>
      <c r="O304" s="18" t="s">
        <v>10</v>
      </c>
      <c r="P304" s="18" t="s">
        <v>8678</v>
      </c>
      <c r="Q304" s="18" t="s">
        <v>8679</v>
      </c>
      <c r="R304" s="18" t="s">
        <v>8680</v>
      </c>
      <c r="S304" s="1" t="s">
        <v>6243</v>
      </c>
      <c r="T304" s="1">
        <f t="shared" si="14"/>
        <v>3820</v>
      </c>
      <c r="U304" s="1">
        <f t="shared" si="15"/>
        <v>2567</v>
      </c>
      <c r="V304" s="1">
        <v>2567</v>
      </c>
      <c r="AH304" s="1">
        <f>SUM(AI304:AT304)</f>
        <v>1253</v>
      </c>
      <c r="AI304" s="1">
        <f>767+486</f>
        <v>1253</v>
      </c>
    </row>
    <row r="305" spans="1:44" x14ac:dyDescent="0.2">
      <c r="A305" s="18" t="s">
        <v>8918</v>
      </c>
      <c r="B305" s="18">
        <v>22912676</v>
      </c>
      <c r="C305" s="18" t="s">
        <v>7421</v>
      </c>
      <c r="D305" s="18"/>
      <c r="E305" s="19">
        <v>89</v>
      </c>
      <c r="F305" s="18">
        <v>1</v>
      </c>
      <c r="G305" s="18" t="s">
        <v>8919</v>
      </c>
      <c r="H305" s="18" t="s">
        <v>8920</v>
      </c>
      <c r="I305" s="24">
        <v>41138</v>
      </c>
      <c r="J305" s="18" t="s">
        <v>10</v>
      </c>
      <c r="K305" s="18" t="s">
        <v>181</v>
      </c>
      <c r="L305" s="18" t="s">
        <v>8921</v>
      </c>
      <c r="M305" s="18"/>
      <c r="N305" s="18" t="s">
        <v>10</v>
      </c>
      <c r="O305" s="18" t="s">
        <v>10</v>
      </c>
      <c r="P305" s="18" t="s">
        <v>8922</v>
      </c>
      <c r="Q305" s="18" t="s">
        <v>33</v>
      </c>
      <c r="R305" s="18" t="s">
        <v>8923</v>
      </c>
      <c r="S305" s="1" t="s">
        <v>6244</v>
      </c>
      <c r="T305" s="1">
        <f t="shared" si="14"/>
        <v>59</v>
      </c>
      <c r="U305" s="1">
        <f t="shared" si="15"/>
        <v>59</v>
      </c>
      <c r="V305" s="1">
        <v>29</v>
      </c>
      <c r="W305" s="1">
        <v>30</v>
      </c>
    </row>
    <row r="306" spans="1:44" x14ac:dyDescent="0.2">
      <c r="A306" s="18" t="s">
        <v>9528</v>
      </c>
      <c r="B306" s="18">
        <v>22915352</v>
      </c>
      <c r="C306" s="18" t="s">
        <v>7421</v>
      </c>
      <c r="D306" s="18"/>
      <c r="E306" s="19">
        <v>39</v>
      </c>
      <c r="F306" s="18"/>
      <c r="G306" s="18" t="s">
        <v>9529</v>
      </c>
      <c r="H306" s="18" t="s">
        <v>1300</v>
      </c>
      <c r="I306" s="24">
        <v>41143</v>
      </c>
      <c r="J306" s="18" t="s">
        <v>11</v>
      </c>
      <c r="K306" s="18" t="s">
        <v>43</v>
      </c>
      <c r="L306" s="18" t="s">
        <v>9530</v>
      </c>
      <c r="M306" s="18"/>
      <c r="N306" s="18" t="s">
        <v>10</v>
      </c>
      <c r="O306" s="18" t="s">
        <v>10</v>
      </c>
      <c r="P306" s="18" t="s">
        <v>9531</v>
      </c>
      <c r="Q306" s="18" t="s">
        <v>9532</v>
      </c>
      <c r="R306" s="18" t="s">
        <v>9533</v>
      </c>
      <c r="S306" s="1" t="s">
        <v>6243</v>
      </c>
      <c r="T306" s="1">
        <f t="shared" si="14"/>
        <v>7116</v>
      </c>
      <c r="U306" s="1">
        <f t="shared" si="15"/>
        <v>4330</v>
      </c>
      <c r="V306" s="1">
        <f>2746+1584</f>
        <v>4330</v>
      </c>
      <c r="AH306" s="1">
        <f>SUM(AI306:AT306)</f>
        <v>2786</v>
      </c>
      <c r="AI306" s="1">
        <f>1383+1403</f>
        <v>2786</v>
      </c>
    </row>
    <row r="307" spans="1:44" x14ac:dyDescent="0.2">
      <c r="A307" s="18" t="s">
        <v>1791</v>
      </c>
      <c r="B307" s="18">
        <v>22916037</v>
      </c>
      <c r="C307" s="18" t="s">
        <v>7421</v>
      </c>
      <c r="D307" s="18"/>
      <c r="E307" s="19">
        <v>39</v>
      </c>
      <c r="F307" s="18">
        <v>1</v>
      </c>
      <c r="G307" s="18" t="s">
        <v>6759</v>
      </c>
      <c r="H307" s="18" t="s">
        <v>7211</v>
      </c>
      <c r="I307" s="24">
        <v>41137</v>
      </c>
      <c r="J307" s="18" t="s">
        <v>11</v>
      </c>
      <c r="K307" s="18" t="s">
        <v>65</v>
      </c>
      <c r="L307" s="18" t="s">
        <v>9589</v>
      </c>
      <c r="M307" s="18"/>
      <c r="N307" s="18" t="s">
        <v>10</v>
      </c>
      <c r="O307" s="18" t="s">
        <v>10</v>
      </c>
      <c r="P307" s="18" t="s">
        <v>9590</v>
      </c>
      <c r="Q307" s="18" t="s">
        <v>33</v>
      </c>
      <c r="R307" s="18" t="s">
        <v>1780</v>
      </c>
      <c r="S307" s="1" t="s">
        <v>6243</v>
      </c>
      <c r="T307" s="1">
        <f t="shared" si="14"/>
        <v>6608</v>
      </c>
      <c r="U307" s="1">
        <f t="shared" si="15"/>
        <v>6608</v>
      </c>
      <c r="V307" s="1">
        <v>6608</v>
      </c>
    </row>
    <row r="308" spans="1:44" x14ac:dyDescent="0.2">
      <c r="A308" s="18" t="s">
        <v>1374</v>
      </c>
      <c r="B308" s="18">
        <v>22916038</v>
      </c>
      <c r="C308" s="18" t="s">
        <v>7421</v>
      </c>
      <c r="D308" s="18"/>
      <c r="E308" s="19">
        <v>3</v>
      </c>
      <c r="F308" s="18"/>
      <c r="G308" s="18" t="s">
        <v>7598</v>
      </c>
      <c r="H308" s="18" t="s">
        <v>7599</v>
      </c>
      <c r="I308" s="24">
        <v>41137</v>
      </c>
      <c r="J308" s="18" t="s">
        <v>10</v>
      </c>
      <c r="K308" s="18" t="s">
        <v>65</v>
      </c>
      <c r="L308" s="18" t="s">
        <v>7600</v>
      </c>
      <c r="M308" s="18"/>
      <c r="N308" s="18" t="s">
        <v>10</v>
      </c>
      <c r="O308" s="18" t="s">
        <v>10</v>
      </c>
      <c r="P308" s="18" t="s">
        <v>7601</v>
      </c>
      <c r="Q308" s="18" t="s">
        <v>7602</v>
      </c>
      <c r="R308" s="18" t="s">
        <v>7603</v>
      </c>
      <c r="S308" s="1" t="s">
        <v>6243</v>
      </c>
      <c r="T308" s="1">
        <f t="shared" si="14"/>
        <v>15404</v>
      </c>
      <c r="U308" s="1">
        <f t="shared" si="15"/>
        <v>3</v>
      </c>
      <c r="V308" s="1">
        <v>3</v>
      </c>
      <c r="AH308" s="1">
        <f>SUM(AI308:AT308)</f>
        <v>15401</v>
      </c>
      <c r="AI308" s="1">
        <v>15401</v>
      </c>
    </row>
    <row r="309" spans="1:44" x14ac:dyDescent="0.2">
      <c r="A309" s="18" t="s">
        <v>7884</v>
      </c>
      <c r="B309" s="18">
        <v>22922229</v>
      </c>
      <c r="C309" s="18" t="s">
        <v>7421</v>
      </c>
      <c r="D309" s="18"/>
      <c r="E309" s="19">
        <v>32</v>
      </c>
      <c r="F309" s="18"/>
      <c r="G309" s="18" t="s">
        <v>7885</v>
      </c>
      <c r="H309" s="18" t="s">
        <v>7886</v>
      </c>
      <c r="I309" s="24">
        <v>41145</v>
      </c>
      <c r="J309" s="18" t="s">
        <v>10</v>
      </c>
      <c r="K309" s="18" t="s">
        <v>103</v>
      </c>
      <c r="L309" s="18" t="s">
        <v>7887</v>
      </c>
      <c r="M309" s="18"/>
      <c r="N309" s="18" t="s">
        <v>10</v>
      </c>
      <c r="O309" s="18" t="s">
        <v>10</v>
      </c>
      <c r="P309" s="18" t="s">
        <v>7888</v>
      </c>
      <c r="Q309" s="18" t="s">
        <v>33</v>
      </c>
      <c r="R309" s="18" t="s">
        <v>7889</v>
      </c>
      <c r="S309" s="1" t="s">
        <v>6243</v>
      </c>
      <c r="T309" s="1">
        <f t="shared" si="14"/>
        <v>12111</v>
      </c>
      <c r="U309" s="1">
        <f t="shared" si="15"/>
        <v>12111</v>
      </c>
      <c r="V309" s="1">
        <f>2285+462+9364</f>
        <v>12111</v>
      </c>
    </row>
    <row r="310" spans="1:44" x14ac:dyDescent="0.2">
      <c r="A310" s="18" t="s">
        <v>1933</v>
      </c>
      <c r="B310" s="18">
        <v>22922875</v>
      </c>
      <c r="C310" s="18" t="s">
        <v>7421</v>
      </c>
      <c r="D310" s="18"/>
      <c r="E310" s="19">
        <v>174</v>
      </c>
      <c r="F310" s="18"/>
      <c r="G310" s="18" t="s">
        <v>9003</v>
      </c>
      <c r="H310" s="18" t="s">
        <v>1414</v>
      </c>
      <c r="I310" s="24">
        <v>41147</v>
      </c>
      <c r="J310" s="18" t="s">
        <v>11</v>
      </c>
      <c r="K310" s="18" t="s">
        <v>28</v>
      </c>
      <c r="L310" s="18" t="s">
        <v>9004</v>
      </c>
      <c r="M310" s="18"/>
      <c r="N310" s="18" t="s">
        <v>10</v>
      </c>
      <c r="O310" s="18" t="s">
        <v>10</v>
      </c>
      <c r="P310" s="18" t="s">
        <v>9005</v>
      </c>
      <c r="Q310" s="18" t="s">
        <v>9006</v>
      </c>
      <c r="R310" s="18" t="s">
        <v>9007</v>
      </c>
      <c r="S310" s="1" t="s">
        <v>6244</v>
      </c>
      <c r="T310" s="1">
        <f t="shared" si="14"/>
        <v>22322</v>
      </c>
      <c r="U310" s="1">
        <f t="shared" si="15"/>
        <v>11462</v>
      </c>
      <c r="X310" s="1">
        <f>1281+1987+3065+2018</f>
        <v>8351</v>
      </c>
      <c r="Y310" s="1">
        <f>573+2538</f>
        <v>3111</v>
      </c>
      <c r="AH310" s="1">
        <f>SUM(AI310:AT310)</f>
        <v>10860</v>
      </c>
      <c r="AI310" s="1">
        <f>4703+127</f>
        <v>4830</v>
      </c>
      <c r="AK310" s="1">
        <f>1545+3756</f>
        <v>5301</v>
      </c>
      <c r="AL310" s="1">
        <v>389</v>
      </c>
      <c r="AP310" s="1">
        <f>175+165</f>
        <v>340</v>
      </c>
    </row>
    <row r="311" spans="1:44" x14ac:dyDescent="0.2">
      <c r="A311" s="18" t="s">
        <v>1009</v>
      </c>
      <c r="B311" s="18">
        <v>22923026</v>
      </c>
      <c r="C311" s="18" t="s">
        <v>7421</v>
      </c>
      <c r="D311" s="18"/>
      <c r="E311" s="19">
        <v>173</v>
      </c>
      <c r="F311" s="18"/>
      <c r="G311" s="18" t="s">
        <v>77</v>
      </c>
      <c r="H311" s="18" t="s">
        <v>6689</v>
      </c>
      <c r="I311" s="24">
        <v>41145</v>
      </c>
      <c r="J311" s="18" t="s">
        <v>11</v>
      </c>
      <c r="K311" s="18" t="s">
        <v>1396</v>
      </c>
      <c r="L311" s="18" t="s">
        <v>10166</v>
      </c>
      <c r="M311" s="18"/>
      <c r="N311" s="18" t="s">
        <v>11</v>
      </c>
      <c r="O311" s="18" t="s">
        <v>11</v>
      </c>
      <c r="P311" s="18" t="s">
        <v>10167</v>
      </c>
      <c r="Q311" s="18" t="s">
        <v>10168</v>
      </c>
      <c r="R311" s="18" t="s">
        <v>10169</v>
      </c>
      <c r="S311" s="1" t="s">
        <v>6244</v>
      </c>
      <c r="T311" s="1">
        <f t="shared" si="14"/>
        <v>14746</v>
      </c>
      <c r="U311" s="1">
        <f t="shared" si="15"/>
        <v>4175</v>
      </c>
      <c r="X311" s="1">
        <f>1033+1042</f>
        <v>2075</v>
      </c>
      <c r="Z311" s="1">
        <f>1057+1043</f>
        <v>2100</v>
      </c>
      <c r="AH311" s="1">
        <f>SUM(AI311:AT311)</f>
        <v>10571</v>
      </c>
      <c r="AI311" s="1">
        <f>3748+1854</f>
        <v>5602</v>
      </c>
      <c r="AK311" s="1">
        <f>1583+3386</f>
        <v>4969</v>
      </c>
    </row>
    <row r="312" spans="1:44" x14ac:dyDescent="0.2">
      <c r="A312" s="18" t="s">
        <v>1431</v>
      </c>
      <c r="B312" s="18">
        <v>22923054</v>
      </c>
      <c r="C312" s="18" t="s">
        <v>7421</v>
      </c>
      <c r="D312" s="18"/>
      <c r="E312" s="19">
        <v>65</v>
      </c>
      <c r="F312" s="18"/>
      <c r="G312" s="18" t="s">
        <v>119</v>
      </c>
      <c r="H312" s="18" t="s">
        <v>6675</v>
      </c>
      <c r="I312" s="24">
        <v>41146</v>
      </c>
      <c r="J312" s="18" t="s">
        <v>11</v>
      </c>
      <c r="K312" s="18" t="s">
        <v>595</v>
      </c>
      <c r="L312" s="18" t="s">
        <v>8163</v>
      </c>
      <c r="M312" s="18"/>
      <c r="N312" s="18" t="s">
        <v>11</v>
      </c>
      <c r="O312" s="18" t="s">
        <v>11</v>
      </c>
      <c r="P312" s="18" t="s">
        <v>8164</v>
      </c>
      <c r="Q312" s="18" t="s">
        <v>8165</v>
      </c>
      <c r="R312" s="18" t="s">
        <v>8166</v>
      </c>
      <c r="S312" s="1" t="s">
        <v>6440</v>
      </c>
      <c r="T312" s="1">
        <f t="shared" si="14"/>
        <v>20340</v>
      </c>
      <c r="U312" s="1">
        <f t="shared" si="15"/>
        <v>5761</v>
      </c>
      <c r="W312" s="1">
        <f>3016+2745</f>
        <v>5761</v>
      </c>
      <c r="AH312" s="1">
        <f>SUM(AI312:AT312)</f>
        <v>14579</v>
      </c>
      <c r="AJ312" s="1">
        <f>3533+11046</f>
        <v>14579</v>
      </c>
    </row>
    <row r="313" spans="1:44" x14ac:dyDescent="0.2">
      <c r="A313" s="18" t="s">
        <v>1435</v>
      </c>
      <c r="B313" s="18">
        <v>22925353</v>
      </c>
      <c r="C313" s="18" t="s">
        <v>7421</v>
      </c>
      <c r="D313" s="18"/>
      <c r="E313" s="19">
        <v>23</v>
      </c>
      <c r="F313" s="18"/>
      <c r="G313" s="18" t="s">
        <v>7960</v>
      </c>
      <c r="H313" s="18" t="s">
        <v>7145</v>
      </c>
      <c r="I313" s="24">
        <v>41146</v>
      </c>
      <c r="J313" s="18" t="s">
        <v>11</v>
      </c>
      <c r="K313" s="18" t="s">
        <v>1481</v>
      </c>
      <c r="L313" s="18" t="s">
        <v>7961</v>
      </c>
      <c r="M313" s="18"/>
      <c r="N313" s="18" t="s">
        <v>10</v>
      </c>
      <c r="O313" s="18" t="s">
        <v>10</v>
      </c>
      <c r="P313" s="18" t="s">
        <v>7962</v>
      </c>
      <c r="Q313" s="18" t="s">
        <v>33</v>
      </c>
      <c r="R313" s="18" t="s">
        <v>7953</v>
      </c>
      <c r="S313" s="1" t="s">
        <v>6243</v>
      </c>
      <c r="T313" s="1">
        <f t="shared" si="14"/>
        <v>3625</v>
      </c>
      <c r="U313" s="1">
        <f t="shared" si="15"/>
        <v>3625</v>
      </c>
      <c r="V313" s="1">
        <f>2191+1434</f>
        <v>3625</v>
      </c>
    </row>
    <row r="314" spans="1:44" x14ac:dyDescent="0.2">
      <c r="A314" s="18" t="s">
        <v>7871</v>
      </c>
      <c r="B314" s="18">
        <v>22935194</v>
      </c>
      <c r="C314" s="18" t="s">
        <v>7421</v>
      </c>
      <c r="D314" s="18"/>
      <c r="E314" s="19">
        <v>29</v>
      </c>
      <c r="F314" s="18"/>
      <c r="G314" s="18" t="s">
        <v>317</v>
      </c>
      <c r="H314" s="18" t="s">
        <v>318</v>
      </c>
      <c r="I314" s="24">
        <v>41151</v>
      </c>
      <c r="J314" s="18" t="s">
        <v>11</v>
      </c>
      <c r="K314" s="18" t="s">
        <v>7872</v>
      </c>
      <c r="L314" s="18" t="s">
        <v>7873</v>
      </c>
      <c r="M314" s="18"/>
      <c r="N314" s="18" t="s">
        <v>10</v>
      </c>
      <c r="O314" s="18" t="s">
        <v>10</v>
      </c>
      <c r="P314" s="18" t="s">
        <v>7874</v>
      </c>
      <c r="Q314" s="18" t="s">
        <v>7875</v>
      </c>
      <c r="R314" s="18" t="s">
        <v>7876</v>
      </c>
      <c r="S314" s="1" t="s">
        <v>6244</v>
      </c>
      <c r="T314" s="1">
        <f t="shared" si="14"/>
        <v>3486</v>
      </c>
      <c r="U314" s="1">
        <f t="shared" si="15"/>
        <v>2165</v>
      </c>
      <c r="AD314" s="1">
        <v>2165</v>
      </c>
      <c r="AH314" s="1">
        <f>SUM(AI314:AT314)</f>
        <v>1321</v>
      </c>
      <c r="AR314" s="1">
        <v>1321</v>
      </c>
    </row>
    <row r="315" spans="1:44" x14ac:dyDescent="0.2">
      <c r="A315" s="18" t="s">
        <v>8555</v>
      </c>
      <c r="B315" s="18">
        <v>22936669</v>
      </c>
      <c r="C315" s="18" t="s">
        <v>7421</v>
      </c>
      <c r="D315" s="18"/>
      <c r="E315" s="19">
        <v>5</v>
      </c>
      <c r="F315" s="18"/>
      <c r="G315" s="18" t="s">
        <v>21</v>
      </c>
      <c r="H315" s="18" t="s">
        <v>22</v>
      </c>
      <c r="I315" s="24">
        <v>41299</v>
      </c>
      <c r="J315" s="18" t="s">
        <v>11</v>
      </c>
      <c r="K315" s="18" t="s">
        <v>2051</v>
      </c>
      <c r="L315" s="18" t="s">
        <v>8556</v>
      </c>
      <c r="M315" s="18"/>
      <c r="N315" s="18" t="s">
        <v>10</v>
      </c>
      <c r="O315" s="18" t="s">
        <v>10</v>
      </c>
      <c r="P315" s="18" t="s">
        <v>8557</v>
      </c>
      <c r="Q315" s="18" t="s">
        <v>8558</v>
      </c>
      <c r="R315" s="18" t="s">
        <v>8559</v>
      </c>
      <c r="S315" s="1" t="s">
        <v>6243</v>
      </c>
      <c r="T315" s="1">
        <f t="shared" si="14"/>
        <v>5526</v>
      </c>
      <c r="U315" s="1">
        <f t="shared" si="15"/>
        <v>2765</v>
      </c>
      <c r="V315" s="1">
        <f>1277+1488</f>
        <v>2765</v>
      </c>
      <c r="AH315" s="1">
        <f>SUM(AI315:AT315)</f>
        <v>2761</v>
      </c>
      <c r="AI315" s="1">
        <f>1365+1396</f>
        <v>2761</v>
      </c>
    </row>
    <row r="316" spans="1:44" x14ac:dyDescent="0.2">
      <c r="A316" s="18" t="s">
        <v>10106</v>
      </c>
      <c r="B316" s="18">
        <v>22936693</v>
      </c>
      <c r="C316" s="18" t="s">
        <v>7421</v>
      </c>
      <c r="D316" s="18"/>
      <c r="E316" s="19">
        <v>123</v>
      </c>
      <c r="F316" s="18"/>
      <c r="G316" s="18" t="s">
        <v>896</v>
      </c>
      <c r="H316" s="18" t="s">
        <v>897</v>
      </c>
      <c r="I316" s="24">
        <v>41150</v>
      </c>
      <c r="J316" s="18" t="s">
        <v>10</v>
      </c>
      <c r="K316" s="18" t="s">
        <v>103</v>
      </c>
      <c r="L316" s="18" t="s">
        <v>10107</v>
      </c>
      <c r="M316" s="18"/>
      <c r="N316" s="18" t="s">
        <v>10</v>
      </c>
      <c r="O316" s="18" t="s">
        <v>10</v>
      </c>
      <c r="P316" s="18" t="s">
        <v>10108</v>
      </c>
      <c r="Q316" s="18" t="s">
        <v>33</v>
      </c>
      <c r="R316" s="18" t="s">
        <v>10109</v>
      </c>
      <c r="S316" s="1" t="s">
        <v>6243</v>
      </c>
      <c r="T316" s="1">
        <f t="shared" si="14"/>
        <v>7810</v>
      </c>
      <c r="U316" s="1">
        <f t="shared" si="15"/>
        <v>7810</v>
      </c>
      <c r="V316" s="1">
        <f>2216+5594</f>
        <v>7810</v>
      </c>
    </row>
    <row r="317" spans="1:44" x14ac:dyDescent="0.2">
      <c r="A317" s="18" t="s">
        <v>1451</v>
      </c>
      <c r="B317" s="18">
        <v>22936694</v>
      </c>
      <c r="C317" s="18" t="s">
        <v>7421</v>
      </c>
      <c r="D317" s="18"/>
      <c r="E317" s="19">
        <v>974</v>
      </c>
      <c r="F317" s="18"/>
      <c r="G317" s="18" t="s">
        <v>7675</v>
      </c>
      <c r="H317" s="18" t="s">
        <v>7676</v>
      </c>
      <c r="I317" s="24">
        <v>41151</v>
      </c>
      <c r="J317" s="18" t="s">
        <v>11</v>
      </c>
      <c r="K317" s="18" t="s">
        <v>103</v>
      </c>
      <c r="L317" s="18" t="s">
        <v>7677</v>
      </c>
      <c r="M317" s="18"/>
      <c r="N317" s="18" t="s">
        <v>11</v>
      </c>
      <c r="O317" s="18" t="s">
        <v>11</v>
      </c>
      <c r="P317" s="18" t="s">
        <v>7678</v>
      </c>
      <c r="Q317" s="18" t="s">
        <v>33</v>
      </c>
      <c r="R317" s="18" t="s">
        <v>7679</v>
      </c>
      <c r="S317" s="1" t="s">
        <v>6243</v>
      </c>
      <c r="T317" s="1">
        <f t="shared" si="14"/>
        <v>3225</v>
      </c>
      <c r="U317" s="1">
        <f t="shared" si="15"/>
        <v>3225</v>
      </c>
      <c r="V317" s="1">
        <v>3225</v>
      </c>
    </row>
    <row r="318" spans="1:44" x14ac:dyDescent="0.2">
      <c r="A318" s="18" t="s">
        <v>2285</v>
      </c>
      <c r="B318" s="18">
        <v>22936702</v>
      </c>
      <c r="C318" s="18" t="s">
        <v>7421</v>
      </c>
      <c r="D318" s="18"/>
      <c r="E318" s="19">
        <v>94</v>
      </c>
      <c r="F318" s="18"/>
      <c r="G318" s="18" t="s">
        <v>491</v>
      </c>
      <c r="H318" s="18" t="s">
        <v>492</v>
      </c>
      <c r="I318" s="24">
        <v>41151</v>
      </c>
      <c r="J318" s="18" t="s">
        <v>11</v>
      </c>
      <c r="K318" s="18" t="s">
        <v>2282</v>
      </c>
      <c r="L318" s="18" t="s">
        <v>10380</v>
      </c>
      <c r="M318" s="18"/>
      <c r="N318" s="18" t="s">
        <v>10</v>
      </c>
      <c r="O318" s="18" t="s">
        <v>10</v>
      </c>
      <c r="P318" s="18" t="s">
        <v>10381</v>
      </c>
      <c r="Q318" s="18" t="s">
        <v>10382</v>
      </c>
      <c r="R318" s="18" t="s">
        <v>10383</v>
      </c>
      <c r="S318" s="1" t="s">
        <v>6243</v>
      </c>
      <c r="T318" s="1">
        <f t="shared" si="14"/>
        <v>9275</v>
      </c>
      <c r="U318" s="1">
        <f t="shared" si="15"/>
        <v>1870</v>
      </c>
      <c r="V318" s="1">
        <f>637+1233</f>
        <v>1870</v>
      </c>
      <c r="AH318" s="1">
        <f>SUM(AI318:AT318)</f>
        <v>7405</v>
      </c>
      <c r="AI318" s="1">
        <f>3121+4284</f>
        <v>7405</v>
      </c>
    </row>
    <row r="319" spans="1:44" x14ac:dyDescent="0.2">
      <c r="A319" s="18" t="s">
        <v>8872</v>
      </c>
      <c r="B319" s="18">
        <v>22936743</v>
      </c>
      <c r="C319" s="18" t="s">
        <v>7421</v>
      </c>
      <c r="D319" s="18"/>
      <c r="E319" s="19">
        <v>23</v>
      </c>
      <c r="F319" s="18"/>
      <c r="G319" s="18" t="s">
        <v>2132</v>
      </c>
      <c r="H319" s="18" t="s">
        <v>8873</v>
      </c>
      <c r="I319" s="24">
        <v>41151</v>
      </c>
      <c r="J319" s="18" t="s">
        <v>10</v>
      </c>
      <c r="K319" s="18" t="s">
        <v>455</v>
      </c>
      <c r="L319" s="18" t="s">
        <v>8874</v>
      </c>
      <c r="M319" s="18"/>
      <c r="N319" s="18" t="s">
        <v>10</v>
      </c>
      <c r="O319" s="18" t="s">
        <v>10</v>
      </c>
      <c r="P319" s="18" t="s">
        <v>10936</v>
      </c>
      <c r="Q319" s="18" t="s">
        <v>33</v>
      </c>
      <c r="R319" s="18" t="s">
        <v>10937</v>
      </c>
      <c r="S319" s="1" t="s">
        <v>6440</v>
      </c>
      <c r="T319" s="1">
        <f t="shared" si="14"/>
        <v>2040</v>
      </c>
      <c r="U319" s="1">
        <f t="shared" si="15"/>
        <v>2040</v>
      </c>
      <c r="W319" s="1">
        <v>2040</v>
      </c>
    </row>
    <row r="320" spans="1:44" x14ac:dyDescent="0.2">
      <c r="A320" s="18" t="s">
        <v>2533</v>
      </c>
      <c r="B320" s="18">
        <v>22939635</v>
      </c>
      <c r="C320" s="18" t="s">
        <v>7421</v>
      </c>
      <c r="D320" s="18"/>
      <c r="E320" s="19">
        <v>21</v>
      </c>
      <c r="F320" s="18"/>
      <c r="G320" s="18" t="s">
        <v>8538</v>
      </c>
      <c r="H320" s="18" t="s">
        <v>8539</v>
      </c>
      <c r="I320" s="24">
        <v>41159</v>
      </c>
      <c r="J320" s="18" t="s">
        <v>11</v>
      </c>
      <c r="K320" s="18" t="s">
        <v>16</v>
      </c>
      <c r="L320" s="18" t="s">
        <v>8540</v>
      </c>
      <c r="M320" s="18"/>
      <c r="N320" s="18" t="s">
        <v>11</v>
      </c>
      <c r="O320" s="18" t="s">
        <v>11</v>
      </c>
      <c r="P320" s="18" t="s">
        <v>8541</v>
      </c>
      <c r="Q320" s="18" t="s">
        <v>8542</v>
      </c>
      <c r="R320" s="18" t="s">
        <v>8543</v>
      </c>
      <c r="S320" s="1" t="s">
        <v>6244</v>
      </c>
      <c r="T320" s="1">
        <f t="shared" si="14"/>
        <v>23819</v>
      </c>
      <c r="U320" s="1">
        <f t="shared" si="15"/>
        <v>11828</v>
      </c>
      <c r="W320" s="1">
        <v>8280</v>
      </c>
      <c r="Z320" s="1">
        <v>3548</v>
      </c>
      <c r="AH320" s="1">
        <f>SUM(AI320:AT320)</f>
        <v>11991</v>
      </c>
      <c r="AI320" s="1">
        <v>5656</v>
      </c>
      <c r="AJ320" s="1">
        <v>2787</v>
      </c>
      <c r="AM320" s="1">
        <v>3548</v>
      </c>
    </row>
    <row r="321" spans="1:38" x14ac:dyDescent="0.2">
      <c r="A321" s="18" t="s">
        <v>7520</v>
      </c>
      <c r="B321" s="18">
        <v>22941190</v>
      </c>
      <c r="C321" s="18" t="s">
        <v>7421</v>
      </c>
      <c r="D321" s="18"/>
      <c r="E321" s="19">
        <v>132</v>
      </c>
      <c r="F321" s="18"/>
      <c r="G321" s="18" t="s">
        <v>10567</v>
      </c>
      <c r="H321" s="18" t="s">
        <v>10568</v>
      </c>
      <c r="I321" s="24">
        <v>41154</v>
      </c>
      <c r="J321" s="18" t="s">
        <v>11</v>
      </c>
      <c r="K321" s="18" t="s">
        <v>28</v>
      </c>
      <c r="L321" s="18" t="s">
        <v>10569</v>
      </c>
      <c r="M321" s="18"/>
      <c r="N321" s="18" t="s">
        <v>10</v>
      </c>
      <c r="O321" s="18" t="s">
        <v>10</v>
      </c>
      <c r="P321" s="18" t="s">
        <v>10570</v>
      </c>
      <c r="Q321" s="18" t="s">
        <v>10571</v>
      </c>
      <c r="R321" s="18" t="s">
        <v>10572</v>
      </c>
      <c r="S321" s="1" t="s">
        <v>6243</v>
      </c>
      <c r="T321" s="1">
        <f t="shared" si="14"/>
        <v>66368</v>
      </c>
      <c r="U321" s="1">
        <f t="shared" si="15"/>
        <v>2406</v>
      </c>
      <c r="V321" s="1">
        <f>421+741+1244</f>
        <v>2406</v>
      </c>
      <c r="AH321" s="1">
        <f>SUM(AI321:AT321)</f>
        <v>63962</v>
      </c>
      <c r="AI321" s="1">
        <f>52695+9552+1715</f>
        <v>63962</v>
      </c>
    </row>
    <row r="322" spans="1:38" x14ac:dyDescent="0.2">
      <c r="A322" s="18" t="s">
        <v>9729</v>
      </c>
      <c r="B322" s="18">
        <v>22941191</v>
      </c>
      <c r="C322" s="18" t="s">
        <v>7421</v>
      </c>
      <c r="D322" s="18"/>
      <c r="E322" s="19">
        <v>68</v>
      </c>
      <c r="F322" s="18"/>
      <c r="G322" s="18" t="s">
        <v>435</v>
      </c>
      <c r="H322" s="18" t="s">
        <v>436</v>
      </c>
      <c r="I322" s="24">
        <v>41924</v>
      </c>
      <c r="J322" s="18" t="s">
        <v>11</v>
      </c>
      <c r="K322" s="18" t="s">
        <v>28</v>
      </c>
      <c r="L322" s="18" t="s">
        <v>9730</v>
      </c>
      <c r="M322" s="18"/>
      <c r="N322" s="18" t="s">
        <v>10</v>
      </c>
      <c r="O322" s="18" t="s">
        <v>10</v>
      </c>
      <c r="P322" s="18" t="s">
        <v>9731</v>
      </c>
      <c r="Q322" s="18" t="s">
        <v>9732</v>
      </c>
      <c r="R322" s="18" t="s">
        <v>9733</v>
      </c>
      <c r="S322" s="1" t="s">
        <v>6244</v>
      </c>
      <c r="T322" s="1">
        <f t="shared" ref="T322:T385" si="17">SUM(U322,AH322)</f>
        <v>10290</v>
      </c>
      <c r="U322" s="1">
        <f t="shared" ref="U322:U385" si="18">SUM(V322:AG322)</f>
        <v>6303</v>
      </c>
      <c r="V322" s="1">
        <f>2101+4202</f>
        <v>6303</v>
      </c>
      <c r="AH322" s="1">
        <f>SUM(AI322:AT322)</f>
        <v>3987</v>
      </c>
      <c r="AI322" s="1">
        <f>351+780</f>
        <v>1131</v>
      </c>
      <c r="AJ322" s="1">
        <f>2491+365</f>
        <v>2856</v>
      </c>
    </row>
    <row r="323" spans="1:38" x14ac:dyDescent="0.2">
      <c r="A323" s="18" t="s">
        <v>7866</v>
      </c>
      <c r="B323" s="18">
        <v>22945461</v>
      </c>
      <c r="C323" s="18" t="s">
        <v>7421</v>
      </c>
      <c r="D323" s="18"/>
      <c r="E323" s="19">
        <v>20</v>
      </c>
      <c r="F323" s="18"/>
      <c r="G323" s="18" t="s">
        <v>7867</v>
      </c>
      <c r="H323" s="18" t="s">
        <v>1641</v>
      </c>
      <c r="I323" s="24">
        <v>41156</v>
      </c>
      <c r="J323" s="18" t="s">
        <v>11</v>
      </c>
      <c r="K323" s="18" t="s">
        <v>7868</v>
      </c>
      <c r="L323" s="18" t="s">
        <v>7869</v>
      </c>
      <c r="M323" s="18"/>
      <c r="N323" s="18" t="s">
        <v>11</v>
      </c>
      <c r="O323" s="18" t="s">
        <v>11</v>
      </c>
      <c r="P323" s="18" t="s">
        <v>7870</v>
      </c>
      <c r="Q323" s="18" t="s">
        <v>33</v>
      </c>
      <c r="R323" s="18" t="s">
        <v>10926</v>
      </c>
      <c r="S323" s="1" t="s">
        <v>6243</v>
      </c>
      <c r="T323" s="1">
        <f t="shared" si="17"/>
        <v>310</v>
      </c>
      <c r="U323" s="1">
        <f t="shared" si="18"/>
        <v>310</v>
      </c>
      <c r="V323" s="1">
        <v>310</v>
      </c>
    </row>
    <row r="324" spans="1:38" x14ac:dyDescent="0.2">
      <c r="A324" s="18" t="s">
        <v>8744</v>
      </c>
      <c r="B324" s="18">
        <v>22949513</v>
      </c>
      <c r="C324" s="18" t="s">
        <v>7421</v>
      </c>
      <c r="D324" s="18"/>
      <c r="E324" s="19">
        <v>166</v>
      </c>
      <c r="F324" s="18"/>
      <c r="G324" s="18" t="s">
        <v>8745</v>
      </c>
      <c r="H324" s="18" t="s">
        <v>6626</v>
      </c>
      <c r="I324" s="24">
        <v>41184</v>
      </c>
      <c r="J324" s="18" t="s">
        <v>11</v>
      </c>
      <c r="K324" s="18" t="s">
        <v>103</v>
      </c>
      <c r="L324" s="18" t="s">
        <v>8746</v>
      </c>
      <c r="M324" s="18"/>
      <c r="N324" s="18" t="s">
        <v>10</v>
      </c>
      <c r="O324" s="18" t="s">
        <v>10</v>
      </c>
      <c r="P324" s="18" t="s">
        <v>8747</v>
      </c>
      <c r="Q324" s="18" t="s">
        <v>8748</v>
      </c>
      <c r="R324" s="18" t="s">
        <v>8749</v>
      </c>
      <c r="S324" s="1" t="s">
        <v>6243</v>
      </c>
      <c r="T324" s="1">
        <f t="shared" si="17"/>
        <v>6370</v>
      </c>
      <c r="U324" s="1">
        <f t="shared" si="18"/>
        <v>3988</v>
      </c>
      <c r="V324" s="1">
        <f>702+586+239+2461</f>
        <v>3988</v>
      </c>
      <c r="AH324" s="1">
        <f>SUM(AI324:AT324)</f>
        <v>2382</v>
      </c>
      <c r="AI324" s="1">
        <f>889+122+382+385+91+166+347</f>
        <v>2382</v>
      </c>
    </row>
    <row r="325" spans="1:38" x14ac:dyDescent="0.2">
      <c r="A325" s="18" t="s">
        <v>8228</v>
      </c>
      <c r="B325" s="18">
        <v>22951594</v>
      </c>
      <c r="C325" s="18" t="s">
        <v>7421</v>
      </c>
      <c r="D325" s="18"/>
      <c r="E325" s="19">
        <v>36</v>
      </c>
      <c r="F325" s="18"/>
      <c r="G325" s="18" t="s">
        <v>8229</v>
      </c>
      <c r="H325" s="18" t="s">
        <v>6675</v>
      </c>
      <c r="I325" s="24">
        <v>41158</v>
      </c>
      <c r="J325" s="18" t="s">
        <v>11</v>
      </c>
      <c r="K325" s="18" t="s">
        <v>689</v>
      </c>
      <c r="L325" s="18" t="s">
        <v>8230</v>
      </c>
      <c r="M325" s="18"/>
      <c r="N325" s="18" t="s">
        <v>11</v>
      </c>
      <c r="O325" s="18" t="s">
        <v>11</v>
      </c>
      <c r="P325" s="18" t="s">
        <v>8231</v>
      </c>
      <c r="Q325" s="18" t="s">
        <v>8232</v>
      </c>
      <c r="R325" s="18" t="s">
        <v>8233</v>
      </c>
      <c r="S325" s="1" t="s">
        <v>6242</v>
      </c>
      <c r="T325" s="1">
        <f t="shared" si="17"/>
        <v>7352</v>
      </c>
      <c r="U325" s="1">
        <f t="shared" si="18"/>
        <v>2902</v>
      </c>
      <c r="X325" s="1">
        <f>1086+1816</f>
        <v>2902</v>
      </c>
      <c r="AH325" s="1">
        <f>SUM(AI325:AT325)</f>
        <v>4450</v>
      </c>
      <c r="AK325" s="1">
        <f>1653+2797</f>
        <v>4450</v>
      </c>
    </row>
    <row r="326" spans="1:38" x14ac:dyDescent="0.2">
      <c r="A326" s="18" t="s">
        <v>222</v>
      </c>
      <c r="B326" s="18">
        <v>22951595</v>
      </c>
      <c r="C326" s="18" t="s">
        <v>7421</v>
      </c>
      <c r="D326" s="18"/>
      <c r="E326" s="19">
        <v>69</v>
      </c>
      <c r="F326" s="18"/>
      <c r="G326" s="18" t="s">
        <v>10066</v>
      </c>
      <c r="H326" s="18" t="s">
        <v>10067</v>
      </c>
      <c r="I326" s="24">
        <v>41924</v>
      </c>
      <c r="J326" s="18" t="s">
        <v>11</v>
      </c>
      <c r="K326" s="18" t="s">
        <v>689</v>
      </c>
      <c r="L326" s="18" t="s">
        <v>10068</v>
      </c>
      <c r="M326" s="18"/>
      <c r="N326" s="18" t="s">
        <v>11</v>
      </c>
      <c r="O326" s="18" t="s">
        <v>11</v>
      </c>
      <c r="P326" s="18" t="s">
        <v>10069</v>
      </c>
      <c r="Q326" s="18" t="s">
        <v>10070</v>
      </c>
      <c r="R326" s="18" t="s">
        <v>10071</v>
      </c>
      <c r="S326" s="1" t="s">
        <v>6242</v>
      </c>
      <c r="T326" s="1">
        <f t="shared" si="17"/>
        <v>3933</v>
      </c>
      <c r="U326" s="1">
        <f t="shared" si="18"/>
        <v>1741</v>
      </c>
      <c r="X326" s="1">
        <f>774+967</f>
        <v>1741</v>
      </c>
      <c r="AH326" s="1">
        <f>SUM(AI326:AT326)</f>
        <v>2192</v>
      </c>
      <c r="AK326" s="1">
        <f>482+468+1242</f>
        <v>2192</v>
      </c>
    </row>
    <row r="327" spans="1:38" x14ac:dyDescent="0.2">
      <c r="A327" s="18" t="s">
        <v>1765</v>
      </c>
      <c r="B327" s="18">
        <v>22951725</v>
      </c>
      <c r="C327" s="18" t="s">
        <v>7421</v>
      </c>
      <c r="D327" s="18"/>
      <c r="E327" s="19">
        <v>49</v>
      </c>
      <c r="F327" s="18"/>
      <c r="G327" s="18" t="s">
        <v>1526</v>
      </c>
      <c r="H327" s="18" t="s">
        <v>137</v>
      </c>
      <c r="I327" s="24">
        <v>41158</v>
      </c>
      <c r="J327" s="18" t="s">
        <v>11</v>
      </c>
      <c r="K327" s="18" t="s">
        <v>811</v>
      </c>
      <c r="L327" s="18" t="s">
        <v>10869</v>
      </c>
      <c r="M327" s="18"/>
      <c r="N327" s="18" t="s">
        <v>10</v>
      </c>
      <c r="O327" s="18" t="s">
        <v>10</v>
      </c>
      <c r="P327" s="18" t="s">
        <v>10870</v>
      </c>
      <c r="Q327" s="18" t="s">
        <v>10871</v>
      </c>
      <c r="R327" s="18" t="s">
        <v>10872</v>
      </c>
      <c r="S327" s="1" t="s">
        <v>6242</v>
      </c>
      <c r="T327" s="1">
        <f t="shared" si="17"/>
        <v>18882</v>
      </c>
      <c r="U327" s="1">
        <f t="shared" si="18"/>
        <v>2818</v>
      </c>
      <c r="X327" s="1">
        <f>1117+1701</f>
        <v>2818</v>
      </c>
      <c r="AH327" s="1">
        <f>SUM(AI327:AT327)</f>
        <v>16064</v>
      </c>
      <c r="AK327" s="1">
        <f>5740+10324</f>
        <v>16064</v>
      </c>
    </row>
    <row r="328" spans="1:38" x14ac:dyDescent="0.2">
      <c r="A328" s="18" t="s">
        <v>10585</v>
      </c>
      <c r="B328" s="18">
        <v>22952603</v>
      </c>
      <c r="C328" s="18" t="s">
        <v>7421</v>
      </c>
      <c r="D328" s="18"/>
      <c r="E328" s="19">
        <v>407</v>
      </c>
      <c r="F328" s="18"/>
      <c r="G328" s="18" t="s">
        <v>10586</v>
      </c>
      <c r="H328" s="18" t="s">
        <v>10587</v>
      </c>
      <c r="I328" s="24">
        <v>41149</v>
      </c>
      <c r="J328" s="18" t="s">
        <v>11</v>
      </c>
      <c r="K328" s="18" t="s">
        <v>181</v>
      </c>
      <c r="L328" s="18" t="s">
        <v>10588</v>
      </c>
      <c r="M328" s="18"/>
      <c r="N328" s="18" t="s">
        <v>10</v>
      </c>
      <c r="O328" s="18" t="s">
        <v>10</v>
      </c>
      <c r="P328" s="18" t="s">
        <v>10589</v>
      </c>
      <c r="Q328" s="18" t="s">
        <v>33</v>
      </c>
      <c r="R328" s="18" t="s">
        <v>10590</v>
      </c>
      <c r="S328" s="1" t="s">
        <v>6244</v>
      </c>
      <c r="T328" s="1">
        <f t="shared" si="17"/>
        <v>381</v>
      </c>
      <c r="U328" s="1">
        <f t="shared" si="18"/>
        <v>381</v>
      </c>
      <c r="V328" s="1">
        <v>325</v>
      </c>
      <c r="W328" s="1">
        <v>18</v>
      </c>
      <c r="X328" s="1">
        <v>10</v>
      </c>
      <c r="Z328" s="1">
        <v>17</v>
      </c>
      <c r="AA328" s="1">
        <v>1</v>
      </c>
      <c r="AE328" s="1">
        <v>10</v>
      </c>
    </row>
    <row r="329" spans="1:38" x14ac:dyDescent="0.2">
      <c r="A329" s="18" t="s">
        <v>10384</v>
      </c>
      <c r="B329" s="18">
        <v>22952805</v>
      </c>
      <c r="C329" s="18" t="s">
        <v>7421</v>
      </c>
      <c r="D329" s="18"/>
      <c r="E329" s="19">
        <v>4968</v>
      </c>
      <c r="F329" s="18"/>
      <c r="G329" s="18" t="s">
        <v>491</v>
      </c>
      <c r="H329" s="18" t="s">
        <v>492</v>
      </c>
      <c r="I329" s="24">
        <v>41148</v>
      </c>
      <c r="J329" s="18" t="s">
        <v>10</v>
      </c>
      <c r="K329" s="18" t="s">
        <v>181</v>
      </c>
      <c r="L329" s="18" t="s">
        <v>10385</v>
      </c>
      <c r="M329" s="18"/>
      <c r="N329" s="18" t="s">
        <v>10</v>
      </c>
      <c r="O329" s="18" t="s">
        <v>10</v>
      </c>
      <c r="P329" s="18" t="s">
        <v>10386</v>
      </c>
      <c r="Q329" s="18" t="s">
        <v>10387</v>
      </c>
      <c r="R329" s="18" t="s">
        <v>10388</v>
      </c>
      <c r="S329" s="1" t="s">
        <v>6244</v>
      </c>
      <c r="T329" s="1">
        <f t="shared" si="17"/>
        <v>5664</v>
      </c>
      <c r="U329" s="1">
        <f t="shared" si="18"/>
        <v>1906</v>
      </c>
      <c r="W329" s="1">
        <f>818+1088</f>
        <v>1906</v>
      </c>
      <c r="AH329" s="1">
        <f>SUM(AI329:AT329)</f>
        <v>3758</v>
      </c>
      <c r="AI329" s="1">
        <f>442+2284</f>
        <v>2726</v>
      </c>
      <c r="AJ329" s="1">
        <f>455+577</f>
        <v>1032</v>
      </c>
    </row>
    <row r="330" spans="1:38" x14ac:dyDescent="0.2">
      <c r="A330" s="18" t="s">
        <v>2552</v>
      </c>
      <c r="B330" s="18">
        <v>22956598</v>
      </c>
      <c r="C330" s="18" t="s">
        <v>7421</v>
      </c>
      <c r="D330" s="18"/>
      <c r="E330" s="19">
        <v>20</v>
      </c>
      <c r="F330" s="18"/>
      <c r="G330" s="18" t="s">
        <v>8325</v>
      </c>
      <c r="H330" s="18" t="s">
        <v>8326</v>
      </c>
      <c r="I330" s="24">
        <v>41173</v>
      </c>
      <c r="J330" s="18" t="s">
        <v>11</v>
      </c>
      <c r="K330" s="18" t="s">
        <v>1944</v>
      </c>
      <c r="L330" s="18" t="s">
        <v>8327</v>
      </c>
      <c r="M330" s="18"/>
      <c r="N330" s="18" t="s">
        <v>11</v>
      </c>
      <c r="O330" s="18" t="s">
        <v>11</v>
      </c>
      <c r="P330" s="18" t="s">
        <v>8328</v>
      </c>
      <c r="Q330" s="18" t="s">
        <v>8329</v>
      </c>
      <c r="R330" s="18" t="s">
        <v>8330</v>
      </c>
      <c r="S330" s="1" t="s">
        <v>6243</v>
      </c>
      <c r="T330" s="1">
        <f t="shared" si="17"/>
        <v>16568</v>
      </c>
      <c r="U330" s="1">
        <f t="shared" si="18"/>
        <v>7099</v>
      </c>
      <c r="V330" s="1">
        <f>1308+5791</f>
        <v>7099</v>
      </c>
      <c r="AH330" s="1">
        <f>SUM(AI330:AT330)</f>
        <v>9469</v>
      </c>
      <c r="AI330" s="1">
        <f>1480+7989</f>
        <v>9469</v>
      </c>
    </row>
    <row r="331" spans="1:38" x14ac:dyDescent="0.2">
      <c r="A331" s="18" t="s">
        <v>7661</v>
      </c>
      <c r="B331" s="18">
        <v>22959728</v>
      </c>
      <c r="C331" s="18" t="s">
        <v>7421</v>
      </c>
      <c r="D331" s="18"/>
      <c r="E331" s="19">
        <v>4008</v>
      </c>
      <c r="F331" s="18"/>
      <c r="G331" s="18" t="s">
        <v>57</v>
      </c>
      <c r="H331" s="18" t="s">
        <v>7142</v>
      </c>
      <c r="I331" s="24">
        <v>41652</v>
      </c>
      <c r="J331" s="18" t="s">
        <v>11</v>
      </c>
      <c r="K331" s="18" t="s">
        <v>1485</v>
      </c>
      <c r="L331" s="18" t="s">
        <v>7662</v>
      </c>
      <c r="M331" s="18"/>
      <c r="N331" s="18" t="s">
        <v>10</v>
      </c>
      <c r="O331" s="18" t="s">
        <v>10</v>
      </c>
      <c r="P331" s="18" t="s">
        <v>7663</v>
      </c>
      <c r="Q331" s="18" t="s">
        <v>33</v>
      </c>
      <c r="R331" s="18" t="s">
        <v>7664</v>
      </c>
      <c r="S331" s="1" t="s">
        <v>6243</v>
      </c>
      <c r="T331" s="1">
        <f t="shared" si="17"/>
        <v>9355</v>
      </c>
      <c r="U331" s="1">
        <f t="shared" si="18"/>
        <v>9355</v>
      </c>
      <c r="V331" s="1">
        <f>4243+5112</f>
        <v>9355</v>
      </c>
    </row>
    <row r="332" spans="1:38" x14ac:dyDescent="0.2">
      <c r="A332" s="18" t="s">
        <v>1127</v>
      </c>
      <c r="B332" s="18">
        <v>22960237</v>
      </c>
      <c r="C332" s="18" t="s">
        <v>7421</v>
      </c>
      <c r="D332" s="18"/>
      <c r="E332" s="19">
        <v>20</v>
      </c>
      <c r="F332" s="18"/>
      <c r="G332" s="18" t="s">
        <v>8446</v>
      </c>
      <c r="H332" s="18" t="s">
        <v>8447</v>
      </c>
      <c r="I332" s="24">
        <v>41985</v>
      </c>
      <c r="J332" s="18" t="s">
        <v>11</v>
      </c>
      <c r="K332" s="18" t="s">
        <v>8448</v>
      </c>
      <c r="L332" s="18" t="s">
        <v>8449</v>
      </c>
      <c r="M332" s="18"/>
      <c r="N332" s="18" t="s">
        <v>11</v>
      </c>
      <c r="O332" s="18" t="s">
        <v>10</v>
      </c>
      <c r="P332" s="18" t="s">
        <v>8450</v>
      </c>
      <c r="Q332" s="18" t="s">
        <v>8451</v>
      </c>
      <c r="R332" s="18" t="s">
        <v>8452</v>
      </c>
      <c r="S332" s="1" t="s">
        <v>6244</v>
      </c>
      <c r="T332" s="1">
        <f t="shared" si="17"/>
        <v>4913</v>
      </c>
      <c r="U332" s="1">
        <f t="shared" si="18"/>
        <v>1627</v>
      </c>
      <c r="X332" s="1">
        <f>825+802</f>
        <v>1627</v>
      </c>
      <c r="AH332" s="1">
        <f>SUM(AI332:AT332)</f>
        <v>3286</v>
      </c>
      <c r="AI332" s="1">
        <f>1059+2227</f>
        <v>3286</v>
      </c>
    </row>
    <row r="333" spans="1:38" x14ac:dyDescent="0.2">
      <c r="A333" s="18" t="s">
        <v>1515</v>
      </c>
      <c r="B333" s="18">
        <v>22960999</v>
      </c>
      <c r="C333" s="18" t="s">
        <v>7421</v>
      </c>
      <c r="D333" s="18"/>
      <c r="E333" s="19">
        <v>78</v>
      </c>
      <c r="F333" s="18"/>
      <c r="G333" s="18" t="s">
        <v>6958</v>
      </c>
      <c r="H333" s="18" t="s">
        <v>6959</v>
      </c>
      <c r="I333" s="24">
        <v>41924</v>
      </c>
      <c r="J333" s="18" t="s">
        <v>11</v>
      </c>
      <c r="K333" s="18" t="s">
        <v>28</v>
      </c>
      <c r="L333" s="18" t="s">
        <v>8771</v>
      </c>
      <c r="M333" s="18"/>
      <c r="N333" s="18" t="s">
        <v>10</v>
      </c>
      <c r="O333" s="18" t="s">
        <v>10</v>
      </c>
      <c r="P333" s="18" t="s">
        <v>8772</v>
      </c>
      <c r="Q333" s="18" t="s">
        <v>8773</v>
      </c>
      <c r="R333" s="18" t="s">
        <v>10234</v>
      </c>
      <c r="S333" s="1" t="s">
        <v>6242</v>
      </c>
      <c r="T333" s="1">
        <f t="shared" si="17"/>
        <v>20787</v>
      </c>
      <c r="U333" s="1">
        <f t="shared" si="18"/>
        <v>4075</v>
      </c>
      <c r="X333" s="1">
        <f>2031+2044</f>
        <v>4075</v>
      </c>
      <c r="AH333" s="1">
        <f>SUM(AI333:AT333)</f>
        <v>16712</v>
      </c>
      <c r="AK333" s="1">
        <f>8092+8620</f>
        <v>16712</v>
      </c>
    </row>
    <row r="334" spans="1:38" x14ac:dyDescent="0.2">
      <c r="A334" s="18" t="s">
        <v>45</v>
      </c>
      <c r="B334" s="18">
        <v>22961000</v>
      </c>
      <c r="C334" s="18" t="s">
        <v>7421</v>
      </c>
      <c r="D334" s="18"/>
      <c r="E334" s="19">
        <v>370</v>
      </c>
      <c r="F334" s="18"/>
      <c r="G334" s="18" t="s">
        <v>896</v>
      </c>
      <c r="H334" s="18" t="s">
        <v>897</v>
      </c>
      <c r="I334" s="24">
        <v>41161</v>
      </c>
      <c r="J334" s="18" t="s">
        <v>10</v>
      </c>
      <c r="K334" s="18" t="s">
        <v>28</v>
      </c>
      <c r="L334" s="18" t="s">
        <v>10115</v>
      </c>
      <c r="M334" s="18"/>
      <c r="N334" s="18" t="s">
        <v>10</v>
      </c>
      <c r="O334" s="18" t="s">
        <v>10</v>
      </c>
      <c r="P334" s="18" t="s">
        <v>10116</v>
      </c>
      <c r="Q334" s="18" t="s">
        <v>33</v>
      </c>
      <c r="R334" s="18" t="s">
        <v>10117</v>
      </c>
      <c r="S334" s="1" t="s">
        <v>6243</v>
      </c>
      <c r="T334" s="1">
        <f t="shared" si="17"/>
        <v>11375</v>
      </c>
      <c r="U334" s="1">
        <f t="shared" si="18"/>
        <v>11375</v>
      </c>
      <c r="V334" s="1">
        <f>2861+8514</f>
        <v>11375</v>
      </c>
    </row>
    <row r="335" spans="1:38" x14ac:dyDescent="0.2">
      <c r="A335" s="18" t="s">
        <v>7890</v>
      </c>
      <c r="B335" s="18">
        <v>22961001</v>
      </c>
      <c r="C335" s="18" t="s">
        <v>7421</v>
      </c>
      <c r="D335" s="18"/>
      <c r="E335" s="19">
        <v>2</v>
      </c>
      <c r="F335" s="18"/>
      <c r="G335" s="18" t="s">
        <v>7891</v>
      </c>
      <c r="H335" s="18" t="s">
        <v>7892</v>
      </c>
      <c r="I335" s="24">
        <v>41161</v>
      </c>
      <c r="J335" s="18" t="s">
        <v>11</v>
      </c>
      <c r="K335" s="18" t="s">
        <v>28</v>
      </c>
      <c r="L335" s="18" t="s">
        <v>7893</v>
      </c>
      <c r="M335" s="18"/>
      <c r="N335" s="18" t="s">
        <v>10</v>
      </c>
      <c r="O335" s="18" t="s">
        <v>10</v>
      </c>
      <c r="P335" s="18" t="s">
        <v>7894</v>
      </c>
      <c r="Q335" s="18" t="s">
        <v>7895</v>
      </c>
      <c r="R335" s="18" t="s">
        <v>7896</v>
      </c>
      <c r="S335" s="1" t="s">
        <v>6243</v>
      </c>
      <c r="T335" s="1">
        <f t="shared" si="17"/>
        <v>25835</v>
      </c>
      <c r="U335" s="1">
        <f t="shared" si="18"/>
        <v>7024</v>
      </c>
      <c r="V335" s="1">
        <f>1852+5172</f>
        <v>7024</v>
      </c>
      <c r="AH335" s="1">
        <f>SUM(AI335:AT335)</f>
        <v>18811</v>
      </c>
      <c r="AI335" s="1">
        <f>5986+12825</f>
        <v>18811</v>
      </c>
    </row>
    <row r="336" spans="1:38" x14ac:dyDescent="0.2">
      <c r="A336" s="18" t="s">
        <v>289</v>
      </c>
      <c r="B336" s="18">
        <v>22961080</v>
      </c>
      <c r="C336" s="18" t="s">
        <v>7421</v>
      </c>
      <c r="D336" s="18"/>
      <c r="E336" s="19">
        <v>614</v>
      </c>
      <c r="F336" s="18"/>
      <c r="G336" s="18" t="s">
        <v>61</v>
      </c>
      <c r="H336" s="18" t="s">
        <v>7396</v>
      </c>
      <c r="I336" s="24">
        <v>41158</v>
      </c>
      <c r="J336" s="18" t="s">
        <v>11</v>
      </c>
      <c r="K336" s="18" t="s">
        <v>90</v>
      </c>
      <c r="L336" s="18" t="s">
        <v>10786</v>
      </c>
      <c r="M336" s="18"/>
      <c r="N336" s="18" t="s">
        <v>10</v>
      </c>
      <c r="O336" s="18" t="s">
        <v>10</v>
      </c>
      <c r="P336" s="18" t="s">
        <v>10787</v>
      </c>
      <c r="Q336" s="18" t="s">
        <v>10788</v>
      </c>
      <c r="R336" s="18" t="s">
        <v>10789</v>
      </c>
      <c r="S336" s="1" t="s">
        <v>6244</v>
      </c>
      <c r="T336" s="1">
        <f t="shared" si="17"/>
        <v>42868</v>
      </c>
      <c r="U336" s="1">
        <f t="shared" si="18"/>
        <v>3712</v>
      </c>
      <c r="X336" s="1">
        <f>1839+1873</f>
        <v>3712</v>
      </c>
      <c r="AH336" s="1">
        <f>SUM(AI336:AT336)</f>
        <v>39156</v>
      </c>
      <c r="AK336" s="1">
        <f>1240+794+19360+15979</f>
        <v>37373</v>
      </c>
      <c r="AL336" s="1">
        <f>159+1624</f>
        <v>1783</v>
      </c>
    </row>
    <row r="337" spans="1:39" x14ac:dyDescent="0.2">
      <c r="A337" s="18" t="s">
        <v>9288</v>
      </c>
      <c r="B337" s="18">
        <v>22961961</v>
      </c>
      <c r="C337" s="18" t="s">
        <v>7421</v>
      </c>
      <c r="D337" s="18"/>
      <c r="E337" s="19">
        <v>15</v>
      </c>
      <c r="F337" s="18"/>
      <c r="G337" s="18" t="s">
        <v>9289</v>
      </c>
      <c r="H337" s="18" t="s">
        <v>7404</v>
      </c>
      <c r="I337" s="24">
        <v>41955</v>
      </c>
      <c r="J337" s="18" t="s">
        <v>11</v>
      </c>
      <c r="K337" s="18" t="s">
        <v>50</v>
      </c>
      <c r="L337" s="18" t="s">
        <v>9290</v>
      </c>
      <c r="M337" s="18"/>
      <c r="N337" s="18" t="s">
        <v>10</v>
      </c>
      <c r="O337" s="18" t="s">
        <v>10</v>
      </c>
      <c r="P337" s="18" t="s">
        <v>9291</v>
      </c>
      <c r="Q337" s="18" t="s">
        <v>33</v>
      </c>
      <c r="R337" s="18" t="s">
        <v>9292</v>
      </c>
      <c r="S337" s="1" t="s">
        <v>6243</v>
      </c>
      <c r="T337" s="1">
        <f t="shared" si="17"/>
        <v>3166</v>
      </c>
      <c r="U337" s="1">
        <f t="shared" si="18"/>
        <v>3166</v>
      </c>
      <c r="V337" s="1">
        <f>1483+1683</f>
        <v>3166</v>
      </c>
    </row>
    <row r="338" spans="1:39" x14ac:dyDescent="0.2">
      <c r="A338" s="18" t="s">
        <v>553</v>
      </c>
      <c r="B338" s="18">
        <v>22962313</v>
      </c>
      <c r="C338" s="18" t="s">
        <v>7421</v>
      </c>
      <c r="D338" s="18"/>
      <c r="E338" s="19">
        <v>10</v>
      </c>
      <c r="F338" s="18"/>
      <c r="G338" s="18" t="s">
        <v>869</v>
      </c>
      <c r="H338" s="18" t="s">
        <v>7401</v>
      </c>
      <c r="I338" s="24">
        <v>41177</v>
      </c>
      <c r="J338" s="18" t="s">
        <v>10</v>
      </c>
      <c r="K338" s="18" t="s">
        <v>103</v>
      </c>
      <c r="L338" s="18" t="s">
        <v>8311</v>
      </c>
      <c r="M338" s="18"/>
      <c r="N338" s="18" t="s">
        <v>10</v>
      </c>
      <c r="O338" s="18" t="s">
        <v>10</v>
      </c>
      <c r="P338" s="18" t="s">
        <v>8312</v>
      </c>
      <c r="Q338" s="18" t="s">
        <v>8313</v>
      </c>
      <c r="R338" s="18" t="s">
        <v>10930</v>
      </c>
      <c r="S338" s="1" t="s">
        <v>6243</v>
      </c>
      <c r="T338" s="1">
        <f t="shared" si="17"/>
        <v>130600</v>
      </c>
      <c r="U338" s="1">
        <f t="shared" si="18"/>
        <v>21940</v>
      </c>
      <c r="V338" s="1">
        <v>21940</v>
      </c>
      <c r="AH338" s="1">
        <f>SUM(AI338:AT338)</f>
        <v>108660</v>
      </c>
      <c r="AI338" s="1">
        <v>108660</v>
      </c>
    </row>
    <row r="339" spans="1:39" x14ac:dyDescent="0.2">
      <c r="A339" s="18" t="s">
        <v>8817</v>
      </c>
      <c r="B339" s="18">
        <v>22968135</v>
      </c>
      <c r="C339" s="18" t="s">
        <v>7421</v>
      </c>
      <c r="D339" s="18"/>
      <c r="E339" s="19">
        <v>39</v>
      </c>
      <c r="F339" s="18"/>
      <c r="G339" s="18" t="s">
        <v>8818</v>
      </c>
      <c r="H339" s="18" t="s">
        <v>7265</v>
      </c>
      <c r="I339" s="24">
        <v>41164</v>
      </c>
      <c r="J339" s="18" t="s">
        <v>10</v>
      </c>
      <c r="K339" s="18" t="s">
        <v>592</v>
      </c>
      <c r="L339" s="18" t="s">
        <v>8819</v>
      </c>
      <c r="M339" s="18"/>
      <c r="N339" s="18" t="s">
        <v>10</v>
      </c>
      <c r="O339" s="18" t="s">
        <v>10</v>
      </c>
      <c r="P339" s="18" t="s">
        <v>8820</v>
      </c>
      <c r="Q339" s="18" t="s">
        <v>8821</v>
      </c>
      <c r="R339" s="18" t="s">
        <v>8822</v>
      </c>
      <c r="S339" s="1" t="s">
        <v>6243</v>
      </c>
      <c r="T339" s="1">
        <f t="shared" si="17"/>
        <v>10755</v>
      </c>
      <c r="U339" s="1">
        <f t="shared" si="18"/>
        <v>6409</v>
      </c>
      <c r="V339" s="1">
        <f>464+5945</f>
        <v>6409</v>
      </c>
      <c r="AH339" s="1">
        <f>SUM(AI339:AT339)</f>
        <v>4346</v>
      </c>
      <c r="AI339" s="1">
        <f>2189+2157</f>
        <v>4346</v>
      </c>
    </row>
    <row r="340" spans="1:39" x14ac:dyDescent="0.2">
      <c r="A340" s="18" t="s">
        <v>8655</v>
      </c>
      <c r="B340" s="18">
        <v>22968431</v>
      </c>
      <c r="C340" s="18" t="s">
        <v>7421</v>
      </c>
      <c r="D340" s="18"/>
      <c r="E340" s="19">
        <v>543</v>
      </c>
      <c r="F340" s="18"/>
      <c r="G340" s="18" t="s">
        <v>8656</v>
      </c>
      <c r="H340" s="18" t="s">
        <v>7134</v>
      </c>
      <c r="I340" s="24">
        <v>41955</v>
      </c>
      <c r="J340" s="18" t="s">
        <v>11</v>
      </c>
      <c r="K340" s="18" t="s">
        <v>294</v>
      </c>
      <c r="L340" s="18" t="s">
        <v>8657</v>
      </c>
      <c r="M340" s="18"/>
      <c r="N340" s="18" t="s">
        <v>10</v>
      </c>
      <c r="O340" s="18" t="s">
        <v>10</v>
      </c>
      <c r="P340" s="18" t="s">
        <v>8658</v>
      </c>
      <c r="Q340" s="18" t="s">
        <v>8659</v>
      </c>
      <c r="R340" s="18" t="s">
        <v>8660</v>
      </c>
      <c r="S340" s="1" t="s">
        <v>6243</v>
      </c>
      <c r="T340" s="1">
        <f t="shared" si="17"/>
        <v>6678</v>
      </c>
      <c r="U340" s="1">
        <f t="shared" si="18"/>
        <v>3784</v>
      </c>
      <c r="V340" s="1">
        <v>3784</v>
      </c>
      <c r="AH340" s="1">
        <f>SUM(AI340:AT340)</f>
        <v>2894</v>
      </c>
      <c r="AI340" s="1">
        <f>307+2587</f>
        <v>2894</v>
      </c>
    </row>
    <row r="341" spans="1:39" x14ac:dyDescent="0.2">
      <c r="A341" s="18" t="s">
        <v>8485</v>
      </c>
      <c r="B341" s="18">
        <v>22969067</v>
      </c>
      <c r="C341" s="18" t="s">
        <v>7421</v>
      </c>
      <c r="D341" s="18"/>
      <c r="E341" s="19">
        <v>26</v>
      </c>
      <c r="F341" s="18"/>
      <c r="G341" s="18" t="s">
        <v>2470</v>
      </c>
      <c r="H341" s="18" t="s">
        <v>7248</v>
      </c>
      <c r="I341" s="24">
        <v>41193</v>
      </c>
      <c r="J341" s="18" t="s">
        <v>11</v>
      </c>
      <c r="K341" s="18" t="s">
        <v>3232</v>
      </c>
      <c r="L341" s="18" t="s">
        <v>8486</v>
      </c>
      <c r="M341" s="18"/>
      <c r="N341" s="18" t="s">
        <v>10</v>
      </c>
      <c r="O341" s="18" t="s">
        <v>10</v>
      </c>
      <c r="P341" s="18" t="s">
        <v>8487</v>
      </c>
      <c r="Q341" s="18" t="s">
        <v>33</v>
      </c>
      <c r="R341" s="18" t="s">
        <v>8488</v>
      </c>
      <c r="S341" s="1" t="s">
        <v>6243</v>
      </c>
      <c r="T341" s="1">
        <f t="shared" si="17"/>
        <v>2801</v>
      </c>
      <c r="U341" s="1">
        <f t="shared" si="18"/>
        <v>2801</v>
      </c>
      <c r="V341" s="1">
        <f>1788+1013</f>
        <v>2801</v>
      </c>
    </row>
    <row r="342" spans="1:39" x14ac:dyDescent="0.2">
      <c r="A342" s="18" t="s">
        <v>8171</v>
      </c>
      <c r="B342" s="18">
        <v>22976474</v>
      </c>
      <c r="C342" s="18" t="s">
        <v>7421</v>
      </c>
      <c r="D342" s="18"/>
      <c r="E342" s="19">
        <v>96</v>
      </c>
      <c r="F342" s="18"/>
      <c r="G342" s="18" t="s">
        <v>119</v>
      </c>
      <c r="H342" s="18" t="s">
        <v>6675</v>
      </c>
      <c r="I342" s="24">
        <v>41187</v>
      </c>
      <c r="J342" s="18" t="s">
        <v>11</v>
      </c>
      <c r="K342" s="18" t="s">
        <v>103</v>
      </c>
      <c r="L342" s="18" t="s">
        <v>8172</v>
      </c>
      <c r="M342" s="18"/>
      <c r="N342" s="18" t="s">
        <v>11</v>
      </c>
      <c r="O342" s="18" t="s">
        <v>11</v>
      </c>
      <c r="P342" s="18" t="s">
        <v>8173</v>
      </c>
      <c r="Q342" s="18" t="s">
        <v>8174</v>
      </c>
      <c r="R342" s="18" t="s">
        <v>8175</v>
      </c>
      <c r="S342" s="1" t="s">
        <v>6244</v>
      </c>
      <c r="T342" s="1">
        <f t="shared" si="17"/>
        <v>45628</v>
      </c>
      <c r="U342" s="1">
        <f t="shared" si="18"/>
        <v>36278</v>
      </c>
      <c r="V342" s="1">
        <f>3666+28864</f>
        <v>32530</v>
      </c>
      <c r="W342" s="1">
        <f>2744+1004</f>
        <v>3748</v>
      </c>
      <c r="AH342" s="1">
        <f>SUM(AI342:AT342)</f>
        <v>9350</v>
      </c>
      <c r="AI342" s="1">
        <f>562+6410</f>
        <v>6972</v>
      </c>
      <c r="AK342" s="1">
        <f>830+84</f>
        <v>914</v>
      </c>
      <c r="AM342" s="1">
        <f>1464</f>
        <v>1464</v>
      </c>
    </row>
    <row r="343" spans="1:39" x14ac:dyDescent="0.2">
      <c r="A343" s="18" t="s">
        <v>9997</v>
      </c>
      <c r="B343" s="18">
        <v>22981920</v>
      </c>
      <c r="C343" s="18" t="s">
        <v>7421</v>
      </c>
      <c r="D343" s="18"/>
      <c r="E343" s="19">
        <v>3743</v>
      </c>
      <c r="F343" s="18"/>
      <c r="G343" s="18" t="s">
        <v>9998</v>
      </c>
      <c r="H343" s="18" t="s">
        <v>7127</v>
      </c>
      <c r="I343" s="24">
        <v>41165</v>
      </c>
      <c r="J343" s="18" t="s">
        <v>11</v>
      </c>
      <c r="K343" s="18" t="s">
        <v>9999</v>
      </c>
      <c r="L343" s="18" t="s">
        <v>10000</v>
      </c>
      <c r="M343" s="18"/>
      <c r="N343" s="18" t="s">
        <v>10</v>
      </c>
      <c r="O343" s="18" t="s">
        <v>10</v>
      </c>
      <c r="P343" s="18" t="s">
        <v>10001</v>
      </c>
      <c r="Q343" s="18" t="s">
        <v>33</v>
      </c>
      <c r="R343" s="18" t="s">
        <v>10002</v>
      </c>
      <c r="S343" s="1" t="s">
        <v>6243</v>
      </c>
      <c r="T343" s="1">
        <f t="shared" si="17"/>
        <v>1000</v>
      </c>
      <c r="U343" s="1">
        <f t="shared" si="18"/>
        <v>1000</v>
      </c>
      <c r="V343" s="1">
        <v>1000</v>
      </c>
    </row>
    <row r="344" spans="1:39" x14ac:dyDescent="0.2">
      <c r="A344" s="18" t="s">
        <v>1765</v>
      </c>
      <c r="B344" s="18">
        <v>22982463</v>
      </c>
      <c r="C344" s="18" t="s">
        <v>7421</v>
      </c>
      <c r="D344" s="18"/>
      <c r="E344" s="19">
        <v>16</v>
      </c>
      <c r="F344" s="18"/>
      <c r="G344" s="18" t="s">
        <v>9937</v>
      </c>
      <c r="H344" s="18" t="s">
        <v>7211</v>
      </c>
      <c r="I344" s="24">
        <v>41955</v>
      </c>
      <c r="J344" s="18" t="s">
        <v>11</v>
      </c>
      <c r="K344" s="18" t="s">
        <v>529</v>
      </c>
      <c r="L344" s="18" t="s">
        <v>9938</v>
      </c>
      <c r="M344" s="18"/>
      <c r="N344" s="18" t="s">
        <v>10</v>
      </c>
      <c r="O344" s="18" t="s">
        <v>10</v>
      </c>
      <c r="P344" s="18" t="s">
        <v>9939</v>
      </c>
      <c r="Q344" s="18" t="s">
        <v>33</v>
      </c>
      <c r="R344" s="18" t="s">
        <v>9940</v>
      </c>
      <c r="S344" s="1" t="s">
        <v>6243</v>
      </c>
      <c r="T344" s="1">
        <f t="shared" si="17"/>
        <v>2136</v>
      </c>
      <c r="U344" s="1">
        <f t="shared" si="18"/>
        <v>2136</v>
      </c>
      <c r="V344" s="1">
        <v>2136</v>
      </c>
    </row>
    <row r="345" spans="1:39" x14ac:dyDescent="0.2">
      <c r="A345" s="18" t="s">
        <v>227</v>
      </c>
      <c r="B345" s="18">
        <v>22982992</v>
      </c>
      <c r="C345" s="18" t="s">
        <v>7421</v>
      </c>
      <c r="D345" s="18"/>
      <c r="E345" s="19">
        <v>15</v>
      </c>
      <c r="F345" s="18"/>
      <c r="G345" s="18" t="s">
        <v>9085</v>
      </c>
      <c r="H345" s="18" t="s">
        <v>9086</v>
      </c>
      <c r="I345" s="24">
        <v>41193</v>
      </c>
      <c r="J345" s="18" t="s">
        <v>11</v>
      </c>
      <c r="K345" s="18" t="s">
        <v>58</v>
      </c>
      <c r="L345" s="18" t="s">
        <v>9087</v>
      </c>
      <c r="M345" s="18"/>
      <c r="N345" s="18" t="s">
        <v>10</v>
      </c>
      <c r="O345" s="18" t="s">
        <v>10</v>
      </c>
      <c r="P345" s="18" t="s">
        <v>9088</v>
      </c>
      <c r="Q345" s="18" t="s">
        <v>9089</v>
      </c>
      <c r="R345" s="18" t="s">
        <v>9090</v>
      </c>
      <c r="S345" s="1" t="s">
        <v>6243</v>
      </c>
      <c r="T345" s="1">
        <f t="shared" si="17"/>
        <v>192479</v>
      </c>
      <c r="U345" s="1">
        <f t="shared" si="18"/>
        <v>133154</v>
      </c>
      <c r="V345" s="1">
        <v>133154</v>
      </c>
      <c r="AH345" s="1">
        <f>SUM(AI345:AT345)</f>
        <v>59325</v>
      </c>
      <c r="AI345" s="1">
        <v>59325</v>
      </c>
    </row>
    <row r="346" spans="1:39" x14ac:dyDescent="0.2">
      <c r="A346" s="18" t="s">
        <v>7509</v>
      </c>
      <c r="B346" s="18">
        <v>22984439</v>
      </c>
      <c r="C346" s="18" t="s">
        <v>7421</v>
      </c>
      <c r="D346" s="18"/>
      <c r="E346" s="19">
        <v>67</v>
      </c>
      <c r="F346" s="18"/>
      <c r="G346" s="18" t="s">
        <v>7510</v>
      </c>
      <c r="H346" s="18" t="s">
        <v>7511</v>
      </c>
      <c r="I346" s="24">
        <v>41163</v>
      </c>
      <c r="J346" s="18" t="s">
        <v>10</v>
      </c>
      <c r="K346" s="18" t="s">
        <v>181</v>
      </c>
      <c r="L346" s="18" t="s">
        <v>7512</v>
      </c>
      <c r="M346" s="18"/>
      <c r="N346" s="18" t="s">
        <v>10</v>
      </c>
      <c r="O346" s="18" t="s">
        <v>10</v>
      </c>
      <c r="P346" s="18" t="s">
        <v>7513</v>
      </c>
      <c r="Q346" s="18" t="s">
        <v>33</v>
      </c>
      <c r="R346" s="18" t="s">
        <v>7514</v>
      </c>
      <c r="S346" s="1" t="s">
        <v>6243</v>
      </c>
      <c r="T346" s="1">
        <f t="shared" si="17"/>
        <v>1249</v>
      </c>
      <c r="U346" s="1">
        <f t="shared" si="18"/>
        <v>1249</v>
      </c>
      <c r="V346" s="1">
        <v>1249</v>
      </c>
    </row>
    <row r="347" spans="1:39" x14ac:dyDescent="0.2">
      <c r="A347" s="18" t="s">
        <v>9482</v>
      </c>
      <c r="B347" s="18">
        <v>22986903</v>
      </c>
      <c r="C347" s="18" t="s">
        <v>7421</v>
      </c>
      <c r="D347" s="18"/>
      <c r="E347" s="19">
        <v>15</v>
      </c>
      <c r="F347" s="18"/>
      <c r="G347" s="18" t="s">
        <v>9483</v>
      </c>
      <c r="H347" s="18" t="s">
        <v>9484</v>
      </c>
      <c r="I347" s="24">
        <v>41170</v>
      </c>
      <c r="J347" s="18" t="s">
        <v>11</v>
      </c>
      <c r="K347" s="18" t="s">
        <v>595</v>
      </c>
      <c r="L347" s="18" t="s">
        <v>9485</v>
      </c>
      <c r="M347" s="18"/>
      <c r="N347" s="18" t="s">
        <v>10</v>
      </c>
      <c r="O347" s="18" t="s">
        <v>10</v>
      </c>
      <c r="P347" s="18" t="s">
        <v>9486</v>
      </c>
      <c r="Q347" s="18" t="s">
        <v>9487</v>
      </c>
      <c r="R347" s="18" t="s">
        <v>9488</v>
      </c>
      <c r="S347" s="1" t="s">
        <v>6243</v>
      </c>
      <c r="T347" s="1">
        <f t="shared" si="17"/>
        <v>10553</v>
      </c>
      <c r="U347" s="1">
        <f t="shared" si="18"/>
        <v>4048</v>
      </c>
      <c r="V347" s="1">
        <v>4048</v>
      </c>
      <c r="AH347" s="1">
        <f>SUM(AI347:AT347)</f>
        <v>6505</v>
      </c>
      <c r="AI347" s="1">
        <f>1772+4733</f>
        <v>6505</v>
      </c>
    </row>
    <row r="348" spans="1:39" x14ac:dyDescent="0.2">
      <c r="A348" s="18" t="s">
        <v>10579</v>
      </c>
      <c r="B348" s="18">
        <v>22990015</v>
      </c>
      <c r="C348" s="18" t="s">
        <v>7421</v>
      </c>
      <c r="D348" s="18"/>
      <c r="E348" s="19">
        <v>66</v>
      </c>
      <c r="F348" s="18"/>
      <c r="G348" s="18" t="s">
        <v>10580</v>
      </c>
      <c r="H348" s="18" t="s">
        <v>10581</v>
      </c>
      <c r="I348" s="24">
        <v>41172</v>
      </c>
      <c r="J348" s="18" t="s">
        <v>11</v>
      </c>
      <c r="K348" s="18" t="s">
        <v>455</v>
      </c>
      <c r="L348" s="18" t="s">
        <v>10582</v>
      </c>
      <c r="M348" s="18"/>
      <c r="N348" s="18" t="s">
        <v>10</v>
      </c>
      <c r="O348" s="18" t="s">
        <v>10</v>
      </c>
      <c r="P348" s="18" t="s">
        <v>10583</v>
      </c>
      <c r="Q348" s="18" t="s">
        <v>33</v>
      </c>
      <c r="R348" s="18" t="s">
        <v>10584</v>
      </c>
      <c r="S348" s="1" t="s">
        <v>6243</v>
      </c>
      <c r="T348" s="1">
        <f t="shared" si="17"/>
        <v>270</v>
      </c>
      <c r="U348" s="1">
        <f t="shared" si="18"/>
        <v>270</v>
      </c>
      <c r="V348" s="1">
        <v>270</v>
      </c>
    </row>
    <row r="349" spans="1:39" x14ac:dyDescent="0.2">
      <c r="A349" s="18" t="s">
        <v>1799</v>
      </c>
      <c r="B349" s="18">
        <v>22990020</v>
      </c>
      <c r="C349" s="18" t="s">
        <v>7421</v>
      </c>
      <c r="D349" s="18"/>
      <c r="E349" s="19">
        <v>33</v>
      </c>
      <c r="F349" s="18"/>
      <c r="G349" s="18" t="s">
        <v>8353</v>
      </c>
      <c r="H349" s="18" t="s">
        <v>7219</v>
      </c>
      <c r="I349" s="24">
        <v>41170</v>
      </c>
      <c r="J349" s="18" t="s">
        <v>11</v>
      </c>
      <c r="K349" s="18" t="s">
        <v>455</v>
      </c>
      <c r="L349" s="18" t="s">
        <v>8354</v>
      </c>
      <c r="M349" s="18"/>
      <c r="N349" s="18" t="s">
        <v>10</v>
      </c>
      <c r="O349" s="18" t="s">
        <v>10</v>
      </c>
      <c r="P349" s="18" t="s">
        <v>8355</v>
      </c>
      <c r="Q349" s="18" t="s">
        <v>8356</v>
      </c>
      <c r="R349" s="18" t="s">
        <v>8357</v>
      </c>
      <c r="S349" s="1" t="s">
        <v>6243</v>
      </c>
      <c r="T349" s="1">
        <f t="shared" si="17"/>
        <v>30363</v>
      </c>
      <c r="U349" s="1">
        <f t="shared" si="18"/>
        <v>19599</v>
      </c>
      <c r="V349" s="1">
        <v>19599</v>
      </c>
      <c r="AH349" s="1">
        <f>SUM(AI349:AT349)</f>
        <v>10764</v>
      </c>
      <c r="AI349" s="1">
        <v>10764</v>
      </c>
    </row>
    <row r="350" spans="1:39" x14ac:dyDescent="0.2">
      <c r="A350" s="18" t="s">
        <v>8384</v>
      </c>
      <c r="B350" s="18">
        <v>22993228</v>
      </c>
      <c r="C350" s="18" t="s">
        <v>7421</v>
      </c>
      <c r="D350" s="18"/>
      <c r="E350" s="19">
        <v>48</v>
      </c>
      <c r="F350" s="18"/>
      <c r="G350" s="18" t="s">
        <v>9422</v>
      </c>
      <c r="H350" s="18" t="s">
        <v>9423</v>
      </c>
      <c r="I350" s="24">
        <v>41199</v>
      </c>
      <c r="J350" s="18" t="s">
        <v>11</v>
      </c>
      <c r="K350" s="18" t="s">
        <v>1944</v>
      </c>
      <c r="L350" s="18" t="s">
        <v>9424</v>
      </c>
      <c r="M350" s="18"/>
      <c r="N350" s="18" t="s">
        <v>10</v>
      </c>
      <c r="O350" s="18" t="s">
        <v>10</v>
      </c>
      <c r="P350" s="18" t="s">
        <v>9425</v>
      </c>
      <c r="Q350" s="18" t="s">
        <v>33</v>
      </c>
      <c r="R350" s="18" t="s">
        <v>9426</v>
      </c>
      <c r="S350" s="1" t="s">
        <v>6243</v>
      </c>
      <c r="T350" s="1">
        <f t="shared" si="17"/>
        <v>4683</v>
      </c>
      <c r="U350" s="1">
        <f t="shared" si="18"/>
        <v>4683</v>
      </c>
      <c r="V350" s="1">
        <v>4683</v>
      </c>
    </row>
    <row r="351" spans="1:39" x14ac:dyDescent="0.2">
      <c r="A351" s="18" t="s">
        <v>10110</v>
      </c>
      <c r="B351" s="18">
        <v>23000144</v>
      </c>
      <c r="C351" s="18" t="s">
        <v>7421</v>
      </c>
      <c r="D351" s="18"/>
      <c r="E351" s="19">
        <v>336</v>
      </c>
      <c r="F351" s="18"/>
      <c r="G351" s="18" t="s">
        <v>896</v>
      </c>
      <c r="H351" s="18" t="s">
        <v>897</v>
      </c>
      <c r="I351" s="24">
        <v>41172</v>
      </c>
      <c r="J351" s="18" t="s">
        <v>11</v>
      </c>
      <c r="K351" s="18" t="s">
        <v>16</v>
      </c>
      <c r="L351" s="18" t="s">
        <v>10111</v>
      </c>
      <c r="M351" s="18"/>
      <c r="N351" s="18" t="s">
        <v>10</v>
      </c>
      <c r="O351" s="18" t="s">
        <v>10</v>
      </c>
      <c r="P351" s="18" t="s">
        <v>10112</v>
      </c>
      <c r="Q351" s="18" t="s">
        <v>10113</v>
      </c>
      <c r="R351" s="18" t="s">
        <v>10114</v>
      </c>
      <c r="S351" s="1" t="s">
        <v>6242</v>
      </c>
      <c r="T351" s="1">
        <f t="shared" si="17"/>
        <v>2365</v>
      </c>
      <c r="U351" s="1">
        <f t="shared" si="18"/>
        <v>963</v>
      </c>
      <c r="X351" s="1">
        <f>487+476</f>
        <v>963</v>
      </c>
      <c r="AH351" s="1">
        <f>SUM(AI351:AT351)</f>
        <v>1402</v>
      </c>
      <c r="AK351" s="1">
        <f>787+615</f>
        <v>1402</v>
      </c>
    </row>
    <row r="352" spans="1:39" x14ac:dyDescent="0.2">
      <c r="A352" s="18" t="s">
        <v>8194</v>
      </c>
      <c r="B352" s="18">
        <v>23001122</v>
      </c>
      <c r="C352" s="18" t="s">
        <v>7421</v>
      </c>
      <c r="D352" s="18"/>
      <c r="E352" s="19">
        <v>63</v>
      </c>
      <c r="F352" s="18"/>
      <c r="G352" s="18" t="s">
        <v>8195</v>
      </c>
      <c r="H352" s="18" t="s">
        <v>8196</v>
      </c>
      <c r="I352" s="24">
        <v>41175</v>
      </c>
      <c r="J352" s="18" t="s">
        <v>11</v>
      </c>
      <c r="K352" s="18" t="s">
        <v>28</v>
      </c>
      <c r="L352" s="18" t="s">
        <v>8197</v>
      </c>
      <c r="M352" s="18"/>
      <c r="N352" s="18" t="s">
        <v>11</v>
      </c>
      <c r="O352" s="18" t="s">
        <v>11</v>
      </c>
      <c r="P352" s="18" t="s">
        <v>8198</v>
      </c>
      <c r="Q352" s="18" t="s">
        <v>8199</v>
      </c>
      <c r="R352" s="18" t="s">
        <v>8200</v>
      </c>
      <c r="S352" s="1" t="s">
        <v>6243</v>
      </c>
      <c r="T352" s="1">
        <f t="shared" si="17"/>
        <v>4530</v>
      </c>
      <c r="U352" s="1">
        <f t="shared" si="18"/>
        <v>3618</v>
      </c>
      <c r="V352" s="1">
        <f>823+2795</f>
        <v>3618</v>
      </c>
      <c r="AH352" s="1">
        <f>SUM(AI352:AT352)</f>
        <v>912</v>
      </c>
      <c r="AI352" s="1">
        <f>438+474</f>
        <v>912</v>
      </c>
    </row>
    <row r="353" spans="1:44" x14ac:dyDescent="0.2">
      <c r="A353" s="18" t="s">
        <v>10631</v>
      </c>
      <c r="B353" s="18">
        <v>23001564</v>
      </c>
      <c r="C353" s="18" t="s">
        <v>7421</v>
      </c>
      <c r="D353" s="18"/>
      <c r="E353" s="19">
        <v>86</v>
      </c>
      <c r="F353" s="18"/>
      <c r="G353" s="18" t="s">
        <v>827</v>
      </c>
      <c r="H353" s="18" t="s">
        <v>7323</v>
      </c>
      <c r="I353" s="24">
        <v>41173</v>
      </c>
      <c r="J353" s="18" t="s">
        <v>11</v>
      </c>
      <c r="K353" s="18" t="s">
        <v>103</v>
      </c>
      <c r="L353" s="18" t="s">
        <v>10632</v>
      </c>
      <c r="M353" s="18"/>
      <c r="N353" s="18" t="s">
        <v>10</v>
      </c>
      <c r="O353" s="18" t="s">
        <v>10</v>
      </c>
      <c r="P353" s="18" t="s">
        <v>10633</v>
      </c>
      <c r="Q353" s="18" t="s">
        <v>10634</v>
      </c>
      <c r="R353" s="18" t="s">
        <v>7429</v>
      </c>
      <c r="S353" s="1" t="s">
        <v>6243</v>
      </c>
      <c r="T353" s="1">
        <f t="shared" si="17"/>
        <v>11416</v>
      </c>
      <c r="U353" s="1">
        <f t="shared" si="18"/>
        <v>9190</v>
      </c>
      <c r="V353" s="1">
        <v>9190</v>
      </c>
      <c r="AH353" s="1">
        <f>SUM(AI353:AT353)</f>
        <v>2226</v>
      </c>
      <c r="AR353" s="1">
        <v>2226</v>
      </c>
    </row>
    <row r="354" spans="1:44" x14ac:dyDescent="0.2">
      <c r="A354" s="18" t="s">
        <v>1147</v>
      </c>
      <c r="B354" s="18">
        <v>23001569</v>
      </c>
      <c r="C354" s="18" t="s">
        <v>7421</v>
      </c>
      <c r="D354" s="18"/>
      <c r="E354" s="19">
        <v>87</v>
      </c>
      <c r="F354" s="18"/>
      <c r="G354" s="18" t="s">
        <v>370</v>
      </c>
      <c r="H354" s="18" t="s">
        <v>7229</v>
      </c>
      <c r="I354" s="24">
        <v>41173</v>
      </c>
      <c r="J354" s="18" t="s">
        <v>10</v>
      </c>
      <c r="K354" s="18" t="s">
        <v>103</v>
      </c>
      <c r="L354" s="18" t="s">
        <v>8047</v>
      </c>
      <c r="M354" s="18"/>
      <c r="N354" s="18" t="s">
        <v>10</v>
      </c>
      <c r="O354" s="18" t="s">
        <v>10</v>
      </c>
      <c r="P354" s="18" t="s">
        <v>8048</v>
      </c>
      <c r="Q354" s="18" t="s">
        <v>8049</v>
      </c>
      <c r="R354" s="18" t="s">
        <v>8050</v>
      </c>
      <c r="S354" s="1" t="s">
        <v>6244</v>
      </c>
      <c r="T354" s="1">
        <f t="shared" si="17"/>
        <v>108912</v>
      </c>
      <c r="U354" s="1">
        <f t="shared" si="18"/>
        <v>78436</v>
      </c>
      <c r="V354" s="1">
        <v>78436</v>
      </c>
      <c r="AH354" s="1">
        <f>SUM(AI354:AT354)</f>
        <v>30476</v>
      </c>
      <c r="AI354" s="1">
        <v>14467</v>
      </c>
      <c r="AQ354" s="1">
        <v>16009</v>
      </c>
    </row>
    <row r="355" spans="1:44" x14ac:dyDescent="0.2">
      <c r="A355" s="18" t="s">
        <v>7902</v>
      </c>
      <c r="B355" s="18">
        <v>23001997</v>
      </c>
      <c r="C355" s="18" t="s">
        <v>7421</v>
      </c>
      <c r="D355" s="18"/>
      <c r="E355" s="19">
        <v>41</v>
      </c>
      <c r="F355" s="18"/>
      <c r="G355" s="18" t="s">
        <v>7897</v>
      </c>
      <c r="H355" s="18" t="s">
        <v>492</v>
      </c>
      <c r="I355" s="24">
        <v>41258</v>
      </c>
      <c r="J355" s="18" t="s">
        <v>11</v>
      </c>
      <c r="K355" s="18" t="s">
        <v>462</v>
      </c>
      <c r="L355" s="18" t="s">
        <v>7903</v>
      </c>
      <c r="M355" s="18"/>
      <c r="N355" s="18" t="s">
        <v>10</v>
      </c>
      <c r="O355" s="18" t="s">
        <v>10</v>
      </c>
      <c r="P355" s="18" t="s">
        <v>7904</v>
      </c>
      <c r="Q355" s="18" t="s">
        <v>7905</v>
      </c>
      <c r="R355" s="18" t="s">
        <v>7906</v>
      </c>
      <c r="S355" s="1" t="s">
        <v>6242</v>
      </c>
      <c r="T355" s="1">
        <f t="shared" si="17"/>
        <v>2811</v>
      </c>
      <c r="U355" s="1">
        <f t="shared" si="18"/>
        <v>1098</v>
      </c>
      <c r="X355" s="1">
        <f>147+951</f>
        <v>1098</v>
      </c>
      <c r="AH355" s="1">
        <f>SUM(AI355:AT355)</f>
        <v>1713</v>
      </c>
      <c r="AK355" s="1">
        <f>554+1159</f>
        <v>1713</v>
      </c>
    </row>
    <row r="356" spans="1:44" x14ac:dyDescent="0.2">
      <c r="A356" s="18" t="s">
        <v>1819</v>
      </c>
      <c r="B356" s="18">
        <v>23006423</v>
      </c>
      <c r="C356" s="18" t="s">
        <v>7421</v>
      </c>
      <c r="D356" s="18"/>
      <c r="E356" s="19">
        <v>3161</v>
      </c>
      <c r="F356" s="18"/>
      <c r="G356" s="18" t="s">
        <v>10625</v>
      </c>
      <c r="H356" s="18" t="s">
        <v>10626</v>
      </c>
      <c r="I356" s="24">
        <v>41176</v>
      </c>
      <c r="J356" s="18" t="s">
        <v>11</v>
      </c>
      <c r="K356" s="18" t="s">
        <v>10627</v>
      </c>
      <c r="L356" s="18" t="s">
        <v>10628</v>
      </c>
      <c r="M356" s="18"/>
      <c r="N356" s="18" t="s">
        <v>10</v>
      </c>
      <c r="O356" s="18" t="s">
        <v>10</v>
      </c>
      <c r="P356" s="18" t="s">
        <v>10629</v>
      </c>
      <c r="Q356" s="18" t="s">
        <v>33</v>
      </c>
      <c r="R356" s="18" t="s">
        <v>10630</v>
      </c>
      <c r="S356" s="1" t="s">
        <v>6244</v>
      </c>
      <c r="T356" s="1">
        <f t="shared" si="17"/>
        <v>288</v>
      </c>
      <c r="U356" s="1">
        <f t="shared" si="18"/>
        <v>288</v>
      </c>
      <c r="V356" s="1">
        <v>96</v>
      </c>
      <c r="W356" s="1">
        <v>96</v>
      </c>
      <c r="X356" s="1">
        <v>96</v>
      </c>
    </row>
    <row r="357" spans="1:44" x14ac:dyDescent="0.2">
      <c r="A357" s="18" t="s">
        <v>227</v>
      </c>
      <c r="B357" s="18">
        <v>23007406</v>
      </c>
      <c r="C357" s="18" t="s">
        <v>7421</v>
      </c>
      <c r="D357" s="18"/>
      <c r="E357" s="19">
        <v>341</v>
      </c>
      <c r="F357" s="18"/>
      <c r="G357" s="18" t="s">
        <v>9361</v>
      </c>
      <c r="H357" s="18" t="s">
        <v>6671</v>
      </c>
      <c r="I357" s="24">
        <v>41176</v>
      </c>
      <c r="J357" s="18" t="s">
        <v>11</v>
      </c>
      <c r="K357" s="18" t="s">
        <v>455</v>
      </c>
      <c r="L357" s="18" t="s">
        <v>9362</v>
      </c>
      <c r="M357" s="18"/>
      <c r="N357" s="18" t="s">
        <v>10</v>
      </c>
      <c r="O357" s="18" t="s">
        <v>10</v>
      </c>
      <c r="P357" s="18" t="s">
        <v>9363</v>
      </c>
      <c r="Q357" s="18" t="s">
        <v>9364</v>
      </c>
      <c r="R357" s="18" t="s">
        <v>9365</v>
      </c>
      <c r="S357" s="1" t="s">
        <v>6244</v>
      </c>
      <c r="T357" s="1">
        <f t="shared" si="17"/>
        <v>2535</v>
      </c>
      <c r="U357" s="1">
        <f t="shared" si="18"/>
        <v>1268</v>
      </c>
      <c r="AD357" s="1">
        <v>1268</v>
      </c>
      <c r="AH357" s="1">
        <f>SUM(AI357:AT357)</f>
        <v>1267</v>
      </c>
      <c r="AQ357" s="1">
        <v>1267</v>
      </c>
    </row>
    <row r="358" spans="1:44" x14ac:dyDescent="0.2">
      <c r="A358" s="18" t="s">
        <v>7954</v>
      </c>
      <c r="B358" s="18">
        <v>23010768</v>
      </c>
      <c r="C358" s="18" t="s">
        <v>7421</v>
      </c>
      <c r="D358" s="18"/>
      <c r="E358" s="19">
        <v>6</v>
      </c>
      <c r="F358" s="18"/>
      <c r="G358" s="18" t="s">
        <v>7955</v>
      </c>
      <c r="H358" s="18" t="s">
        <v>7145</v>
      </c>
      <c r="I358" s="24">
        <v>41177</v>
      </c>
      <c r="J358" s="18" t="s">
        <v>11</v>
      </c>
      <c r="K358" s="18" t="s">
        <v>7641</v>
      </c>
      <c r="L358" s="18" t="s">
        <v>7956</v>
      </c>
      <c r="M358" s="18"/>
      <c r="N358" s="18" t="s">
        <v>10</v>
      </c>
      <c r="O358" s="18" t="s">
        <v>10</v>
      </c>
      <c r="P358" s="18" t="s">
        <v>7957</v>
      </c>
      <c r="Q358" s="18" t="s">
        <v>7958</v>
      </c>
      <c r="R358" s="18" t="s">
        <v>7959</v>
      </c>
      <c r="S358" s="1" t="s">
        <v>6243</v>
      </c>
      <c r="T358" s="1">
        <f t="shared" si="17"/>
        <v>5776</v>
      </c>
      <c r="U358" s="1">
        <f t="shared" si="18"/>
        <v>3095</v>
      </c>
      <c r="V358" s="1">
        <f>927+2168</f>
        <v>3095</v>
      </c>
      <c r="AH358" s="1">
        <f>SUM(AI358:AT358)</f>
        <v>2681</v>
      </c>
      <c r="AI358" s="1">
        <f>1247+1434</f>
        <v>2681</v>
      </c>
    </row>
    <row r="359" spans="1:44" x14ac:dyDescent="0.2">
      <c r="A359" s="18" t="s">
        <v>9631</v>
      </c>
      <c r="B359" s="18">
        <v>23017229</v>
      </c>
      <c r="C359" s="18" t="s">
        <v>7421</v>
      </c>
      <c r="D359" s="18"/>
      <c r="E359" s="19">
        <v>6</v>
      </c>
      <c r="F359" s="18"/>
      <c r="G359" s="18" t="s">
        <v>9632</v>
      </c>
      <c r="H359" s="18" t="s">
        <v>9633</v>
      </c>
      <c r="I359" s="24">
        <v>41177</v>
      </c>
      <c r="J359" s="18" t="s">
        <v>11</v>
      </c>
      <c r="K359" s="18" t="s">
        <v>9634</v>
      </c>
      <c r="L359" s="18" t="s">
        <v>9635</v>
      </c>
      <c r="M359" s="18"/>
      <c r="N359" s="18" t="s">
        <v>10</v>
      </c>
      <c r="O359" s="18" t="s">
        <v>10</v>
      </c>
      <c r="P359" s="18" t="s">
        <v>9636</v>
      </c>
      <c r="Q359" s="18" t="s">
        <v>33</v>
      </c>
      <c r="R359" s="18" t="s">
        <v>10951</v>
      </c>
      <c r="S359" s="1" t="s">
        <v>6270</v>
      </c>
      <c r="T359" s="1">
        <f t="shared" si="17"/>
        <v>815</v>
      </c>
      <c r="U359" s="1">
        <f t="shared" si="18"/>
        <v>815</v>
      </c>
      <c r="Z359" s="1">
        <v>815</v>
      </c>
    </row>
    <row r="360" spans="1:44" x14ac:dyDescent="0.2">
      <c r="A360" s="18" t="s">
        <v>1889</v>
      </c>
      <c r="B360" s="18">
        <v>23021708</v>
      </c>
      <c r="C360" s="18" t="s">
        <v>7421</v>
      </c>
      <c r="D360" s="18"/>
      <c r="E360" s="19">
        <v>94</v>
      </c>
      <c r="F360" s="18"/>
      <c r="G360" s="18" t="s">
        <v>8755</v>
      </c>
      <c r="H360" s="18" t="s">
        <v>8756</v>
      </c>
      <c r="I360" s="24">
        <v>41178</v>
      </c>
      <c r="J360" s="18" t="s">
        <v>11</v>
      </c>
      <c r="K360" s="18" t="s">
        <v>1886</v>
      </c>
      <c r="L360" s="18" t="s">
        <v>8757</v>
      </c>
      <c r="M360" s="18"/>
      <c r="N360" s="18" t="s">
        <v>11</v>
      </c>
      <c r="O360" s="18" t="s">
        <v>11</v>
      </c>
      <c r="P360" s="18" t="s">
        <v>8758</v>
      </c>
      <c r="Q360" s="18" t="s">
        <v>8759</v>
      </c>
      <c r="R360" s="18" t="s">
        <v>8760</v>
      </c>
      <c r="S360" s="1" t="s">
        <v>6244</v>
      </c>
      <c r="T360" s="1">
        <f t="shared" si="17"/>
        <v>465</v>
      </c>
      <c r="U360" s="1">
        <f t="shared" si="18"/>
        <v>235</v>
      </c>
      <c r="AD360" s="1">
        <f>132+103</f>
        <v>235</v>
      </c>
      <c r="AH360" s="1">
        <f>SUM(AI360:AT360)</f>
        <v>230</v>
      </c>
      <c r="AR360" s="1">
        <f>102+128</f>
        <v>230</v>
      </c>
    </row>
    <row r="361" spans="1:44" x14ac:dyDescent="0.2">
      <c r="A361" s="18" t="s">
        <v>7544</v>
      </c>
      <c r="B361" s="18">
        <v>23022100</v>
      </c>
      <c r="C361" s="18" t="s">
        <v>7421</v>
      </c>
      <c r="D361" s="18"/>
      <c r="E361" s="19">
        <v>18</v>
      </c>
      <c r="F361" s="18"/>
      <c r="G361" s="18" t="s">
        <v>7545</v>
      </c>
      <c r="H361" s="18" t="s">
        <v>7211</v>
      </c>
      <c r="I361" s="24">
        <v>41187</v>
      </c>
      <c r="J361" s="18" t="s">
        <v>11</v>
      </c>
      <c r="K361" s="18" t="s">
        <v>16</v>
      </c>
      <c r="L361" s="18" t="s">
        <v>7546</v>
      </c>
      <c r="M361" s="18"/>
      <c r="N361" s="18" t="s">
        <v>10</v>
      </c>
      <c r="O361" s="18" t="s">
        <v>10</v>
      </c>
      <c r="P361" s="18" t="s">
        <v>7547</v>
      </c>
      <c r="Q361" s="18" t="s">
        <v>33</v>
      </c>
      <c r="R361" s="18" t="s">
        <v>7548</v>
      </c>
      <c r="S361" s="1" t="s">
        <v>6244</v>
      </c>
      <c r="T361" s="1">
        <f t="shared" si="17"/>
        <v>62570</v>
      </c>
      <c r="U361" s="1">
        <f t="shared" si="18"/>
        <v>62570</v>
      </c>
      <c r="V361" s="1">
        <v>53190</v>
      </c>
      <c r="X361" s="1">
        <v>9380</v>
      </c>
    </row>
    <row r="362" spans="1:44" x14ac:dyDescent="0.2">
      <c r="A362" s="18" t="s">
        <v>2530</v>
      </c>
      <c r="B362" s="18">
        <v>23023329</v>
      </c>
      <c r="C362" s="18" t="s">
        <v>7421</v>
      </c>
      <c r="D362" s="18"/>
      <c r="E362" s="19">
        <v>116</v>
      </c>
      <c r="F362" s="18"/>
      <c r="G362" s="18" t="s">
        <v>77</v>
      </c>
      <c r="H362" s="18" t="s">
        <v>6689</v>
      </c>
      <c r="I362" s="24">
        <v>41182</v>
      </c>
      <c r="J362" s="18" t="s">
        <v>11</v>
      </c>
      <c r="K362" s="18" t="s">
        <v>28</v>
      </c>
      <c r="L362" s="18" t="s">
        <v>10162</v>
      </c>
      <c r="M362" s="18"/>
      <c r="N362" s="18" t="s">
        <v>11</v>
      </c>
      <c r="O362" s="18" t="s">
        <v>11</v>
      </c>
      <c r="P362" s="18" t="s">
        <v>10163</v>
      </c>
      <c r="Q362" s="18" t="s">
        <v>10164</v>
      </c>
      <c r="R362" s="18" t="s">
        <v>10165</v>
      </c>
      <c r="S362" s="1" t="s">
        <v>6242</v>
      </c>
      <c r="T362" s="1">
        <f t="shared" si="17"/>
        <v>13418</v>
      </c>
      <c r="U362" s="1">
        <f t="shared" si="18"/>
        <v>2425</v>
      </c>
      <c r="X362" s="1">
        <f>1417+1008</f>
        <v>2425</v>
      </c>
      <c r="AH362" s="1">
        <f t="shared" ref="AH362:AH368" si="19">SUM(AI362:AT362)</f>
        <v>10993</v>
      </c>
      <c r="AK362" s="1">
        <f>3067+7926</f>
        <v>10993</v>
      </c>
    </row>
    <row r="363" spans="1:44" x14ac:dyDescent="0.2">
      <c r="A363" s="18" t="s">
        <v>9497</v>
      </c>
      <c r="B363" s="18">
        <v>23025665</v>
      </c>
      <c r="C363" s="18" t="s">
        <v>7421</v>
      </c>
      <c r="D363" s="18"/>
      <c r="E363" s="19">
        <v>60</v>
      </c>
      <c r="F363" s="18"/>
      <c r="G363" s="18" t="s">
        <v>6821</v>
      </c>
      <c r="H363" s="18" t="s">
        <v>6820</v>
      </c>
      <c r="I363" s="24">
        <v>41183</v>
      </c>
      <c r="J363" s="18" t="s">
        <v>10</v>
      </c>
      <c r="K363" s="18" t="s">
        <v>2930</v>
      </c>
      <c r="L363" s="18" t="s">
        <v>9498</v>
      </c>
      <c r="M363" s="18"/>
      <c r="N363" s="18" t="s">
        <v>10</v>
      </c>
      <c r="O363" s="18" t="s">
        <v>10</v>
      </c>
      <c r="P363" s="18" t="s">
        <v>9499</v>
      </c>
      <c r="Q363" s="18" t="s">
        <v>9500</v>
      </c>
      <c r="R363" s="18" t="s">
        <v>9501</v>
      </c>
      <c r="S363" s="1" t="s">
        <v>6243</v>
      </c>
      <c r="T363" s="1">
        <f t="shared" si="17"/>
        <v>2921</v>
      </c>
      <c r="U363" s="1">
        <f t="shared" si="18"/>
        <v>2133</v>
      </c>
      <c r="V363" s="1">
        <f>592+1541</f>
        <v>2133</v>
      </c>
      <c r="AH363" s="1">
        <f t="shared" si="19"/>
        <v>788</v>
      </c>
      <c r="AI363" s="1">
        <f>107+681</f>
        <v>788</v>
      </c>
    </row>
    <row r="364" spans="1:44" x14ac:dyDescent="0.2">
      <c r="A364" s="18" t="s">
        <v>227</v>
      </c>
      <c r="B364" s="18">
        <v>23028341</v>
      </c>
      <c r="C364" s="18" t="s">
        <v>7421</v>
      </c>
      <c r="D364" s="18"/>
      <c r="E364" s="19">
        <v>9</v>
      </c>
      <c r="F364" s="18"/>
      <c r="G364" s="18" t="s">
        <v>8440</v>
      </c>
      <c r="H364" s="18" t="s">
        <v>8441</v>
      </c>
      <c r="I364" s="24">
        <v>41894</v>
      </c>
      <c r="J364" s="18" t="s">
        <v>11</v>
      </c>
      <c r="K364" s="18" t="s">
        <v>65</v>
      </c>
      <c r="L364" s="18" t="s">
        <v>8442</v>
      </c>
      <c r="M364" s="18"/>
      <c r="N364" s="18" t="s">
        <v>11</v>
      </c>
      <c r="O364" s="18" t="s">
        <v>11</v>
      </c>
      <c r="P364" s="18" t="s">
        <v>8443</v>
      </c>
      <c r="Q364" s="18" t="s">
        <v>8444</v>
      </c>
      <c r="R364" s="18" t="s">
        <v>8445</v>
      </c>
      <c r="S364" s="1" t="s">
        <v>6242</v>
      </c>
      <c r="T364" s="1">
        <f t="shared" si="17"/>
        <v>3495</v>
      </c>
      <c r="U364" s="1">
        <f t="shared" si="18"/>
        <v>1999</v>
      </c>
      <c r="X364" s="1">
        <v>1999</v>
      </c>
      <c r="AH364" s="1">
        <f t="shared" si="19"/>
        <v>1496</v>
      </c>
      <c r="AK364" s="1">
        <v>1496</v>
      </c>
    </row>
    <row r="365" spans="1:44" x14ac:dyDescent="0.2">
      <c r="A365" s="18" t="s">
        <v>10744</v>
      </c>
      <c r="B365" s="18">
        <v>23028342</v>
      </c>
      <c r="C365" s="18" t="s">
        <v>7421</v>
      </c>
      <c r="D365" s="18"/>
      <c r="E365" s="19">
        <v>41</v>
      </c>
      <c r="F365" s="18"/>
      <c r="G365" s="18" t="s">
        <v>155</v>
      </c>
      <c r="H365" s="18" t="s">
        <v>7400</v>
      </c>
      <c r="I365" s="24">
        <v>41894</v>
      </c>
      <c r="J365" s="18" t="s">
        <v>11</v>
      </c>
      <c r="K365" s="18" t="s">
        <v>65</v>
      </c>
      <c r="L365" s="18" t="s">
        <v>10745</v>
      </c>
      <c r="M365" s="18"/>
      <c r="N365" s="18" t="s">
        <v>10</v>
      </c>
      <c r="O365" s="18" t="s">
        <v>10</v>
      </c>
      <c r="P365" s="18" t="s">
        <v>10746</v>
      </c>
      <c r="Q365" s="18" t="s">
        <v>10747</v>
      </c>
      <c r="R365" s="18" t="s">
        <v>868</v>
      </c>
      <c r="S365" s="1" t="s">
        <v>6243</v>
      </c>
      <c r="T365" s="1">
        <f t="shared" si="17"/>
        <v>10915</v>
      </c>
      <c r="U365" s="1">
        <f t="shared" si="18"/>
        <v>6231</v>
      </c>
      <c r="V365" s="1">
        <f>2916+3315</f>
        <v>6231</v>
      </c>
      <c r="AH365" s="1">
        <f t="shared" si="19"/>
        <v>4684</v>
      </c>
      <c r="AI365" s="1">
        <f>3191+1493</f>
        <v>4684</v>
      </c>
    </row>
    <row r="366" spans="1:44" x14ac:dyDescent="0.2">
      <c r="A366" s="18" t="s">
        <v>45</v>
      </c>
      <c r="B366" s="18">
        <v>23028347</v>
      </c>
      <c r="C366" s="18" t="s">
        <v>7421</v>
      </c>
      <c r="D366" s="18"/>
      <c r="E366" s="19">
        <v>112</v>
      </c>
      <c r="F366" s="18"/>
      <c r="G366" s="18" t="s">
        <v>8800</v>
      </c>
      <c r="H366" s="18" t="s">
        <v>8801</v>
      </c>
      <c r="I366" s="24">
        <v>41894</v>
      </c>
      <c r="J366" s="18" t="s">
        <v>11</v>
      </c>
      <c r="K366" s="18" t="s">
        <v>65</v>
      </c>
      <c r="L366" s="18" t="s">
        <v>8802</v>
      </c>
      <c r="M366" s="18"/>
      <c r="N366" s="18" t="s">
        <v>10</v>
      </c>
      <c r="O366" s="18" t="s">
        <v>10</v>
      </c>
      <c r="P366" s="18" t="s">
        <v>8803</v>
      </c>
      <c r="Q366" s="18" t="s">
        <v>8804</v>
      </c>
      <c r="R366" s="18" t="s">
        <v>8805</v>
      </c>
      <c r="S366" s="1" t="s">
        <v>6243</v>
      </c>
      <c r="T366" s="1">
        <f t="shared" si="17"/>
        <v>9459</v>
      </c>
      <c r="U366" s="1">
        <f t="shared" si="18"/>
        <v>5388</v>
      </c>
      <c r="V366" s="1">
        <v>5388</v>
      </c>
      <c r="AH366" s="1">
        <f t="shared" si="19"/>
        <v>4071</v>
      </c>
      <c r="AI366" s="1">
        <v>4071</v>
      </c>
    </row>
    <row r="367" spans="1:44" x14ac:dyDescent="0.2">
      <c r="A367" s="18" t="s">
        <v>10356</v>
      </c>
      <c r="B367" s="18">
        <v>23028356</v>
      </c>
      <c r="C367" s="18" t="s">
        <v>7421</v>
      </c>
      <c r="D367" s="18"/>
      <c r="E367" s="19">
        <v>38</v>
      </c>
      <c r="F367" s="18"/>
      <c r="G367" s="18" t="s">
        <v>48</v>
      </c>
      <c r="H367" s="18" t="s">
        <v>7340</v>
      </c>
      <c r="I367" s="24">
        <v>41894</v>
      </c>
      <c r="J367" s="18" t="s">
        <v>11</v>
      </c>
      <c r="K367" s="18" t="s">
        <v>65</v>
      </c>
      <c r="L367" s="18" t="s">
        <v>10357</v>
      </c>
      <c r="M367" s="18"/>
      <c r="N367" s="18" t="s">
        <v>10</v>
      </c>
      <c r="O367" s="18" t="s">
        <v>10</v>
      </c>
      <c r="P367" s="18" t="s">
        <v>10358</v>
      </c>
      <c r="Q367" s="18" t="s">
        <v>10359</v>
      </c>
      <c r="R367" s="18" t="s">
        <v>10919</v>
      </c>
      <c r="S367" s="1" t="s">
        <v>6242</v>
      </c>
      <c r="T367" s="1">
        <f t="shared" si="17"/>
        <v>43269</v>
      </c>
      <c r="U367" s="1">
        <f t="shared" si="18"/>
        <v>5683</v>
      </c>
      <c r="X367" s="1">
        <f>2303+3380</f>
        <v>5683</v>
      </c>
      <c r="AH367" s="1">
        <f t="shared" si="19"/>
        <v>37586</v>
      </c>
      <c r="AK367" s="1">
        <f>5604+31982</f>
        <v>37586</v>
      </c>
    </row>
    <row r="368" spans="1:44" x14ac:dyDescent="0.2">
      <c r="A368" s="18" t="s">
        <v>3150</v>
      </c>
      <c r="B368" s="18">
        <v>23028483</v>
      </c>
      <c r="C368" s="18" t="s">
        <v>7421</v>
      </c>
      <c r="D368" s="18"/>
      <c r="E368" s="19">
        <v>32</v>
      </c>
      <c r="F368" s="18"/>
      <c r="G368" s="18" t="s">
        <v>799</v>
      </c>
      <c r="H368" s="18" t="s">
        <v>7052</v>
      </c>
      <c r="I368" s="24">
        <v>41180</v>
      </c>
      <c r="J368" s="18" t="s">
        <v>11</v>
      </c>
      <c r="K368" s="18" t="s">
        <v>181</v>
      </c>
      <c r="L368" s="18" t="s">
        <v>7799</v>
      </c>
      <c r="M368" s="18"/>
      <c r="N368" s="18" t="s">
        <v>10</v>
      </c>
      <c r="O368" s="18" t="s">
        <v>10</v>
      </c>
      <c r="P368" s="18" t="s">
        <v>7800</v>
      </c>
      <c r="Q368" s="18" t="s">
        <v>7801</v>
      </c>
      <c r="R368" s="18" t="s">
        <v>7802</v>
      </c>
      <c r="S368" s="1" t="s">
        <v>6243</v>
      </c>
      <c r="T368" s="1">
        <f t="shared" si="17"/>
        <v>33890</v>
      </c>
      <c r="U368" s="1">
        <f t="shared" si="18"/>
        <v>18604</v>
      </c>
      <c r="V368" s="1">
        <f>1716+16888</f>
        <v>18604</v>
      </c>
      <c r="AH368" s="1">
        <f t="shared" si="19"/>
        <v>15286</v>
      </c>
      <c r="AI368" s="1">
        <f>4035+11251</f>
        <v>15286</v>
      </c>
    </row>
    <row r="369" spans="1:44" x14ac:dyDescent="0.2">
      <c r="A369" s="18" t="s">
        <v>9054</v>
      </c>
      <c r="B369" s="18">
        <v>23031429</v>
      </c>
      <c r="C369" s="18" t="s">
        <v>7421</v>
      </c>
      <c r="D369" s="18"/>
      <c r="E369" s="19">
        <v>7</v>
      </c>
      <c r="F369" s="18"/>
      <c r="G369" s="18" t="s">
        <v>833</v>
      </c>
      <c r="H369" s="18" t="s">
        <v>7265</v>
      </c>
      <c r="I369" s="24">
        <v>41185</v>
      </c>
      <c r="J369" s="18" t="s">
        <v>11</v>
      </c>
      <c r="K369" s="18" t="s">
        <v>1408</v>
      </c>
      <c r="L369" s="18" t="s">
        <v>9055</v>
      </c>
      <c r="M369" s="18"/>
      <c r="N369" s="18" t="s">
        <v>10</v>
      </c>
      <c r="O369" s="18" t="s">
        <v>10</v>
      </c>
      <c r="P369" s="18" t="s">
        <v>9056</v>
      </c>
      <c r="Q369" s="18" t="s">
        <v>33</v>
      </c>
      <c r="R369" s="18" t="s">
        <v>667</v>
      </c>
      <c r="S369" s="1" t="s">
        <v>6243</v>
      </c>
      <c r="T369" s="1">
        <f t="shared" si="17"/>
        <v>1720</v>
      </c>
      <c r="U369" s="1">
        <f t="shared" si="18"/>
        <v>1720</v>
      </c>
      <c r="V369" s="1">
        <v>1720</v>
      </c>
    </row>
    <row r="370" spans="1:44" x14ac:dyDescent="0.2">
      <c r="A370" s="18" t="s">
        <v>10821</v>
      </c>
      <c r="B370" s="18">
        <v>23040493</v>
      </c>
      <c r="C370" s="18" t="s">
        <v>7421</v>
      </c>
      <c r="D370" s="18"/>
      <c r="E370" s="19">
        <v>69</v>
      </c>
      <c r="F370" s="18"/>
      <c r="G370" s="18" t="s">
        <v>10822</v>
      </c>
      <c r="H370" s="18" t="s">
        <v>10823</v>
      </c>
      <c r="I370" s="24">
        <v>41187</v>
      </c>
      <c r="J370" s="18" t="s">
        <v>10</v>
      </c>
      <c r="K370" s="18" t="s">
        <v>16</v>
      </c>
      <c r="L370" s="18" t="s">
        <v>10824</v>
      </c>
      <c r="M370" s="18"/>
      <c r="N370" s="18" t="s">
        <v>11</v>
      </c>
      <c r="O370" s="18" t="s">
        <v>11</v>
      </c>
      <c r="P370" s="18" t="s">
        <v>10825</v>
      </c>
      <c r="Q370" s="18" t="s">
        <v>33</v>
      </c>
      <c r="R370" s="18" t="s">
        <v>10826</v>
      </c>
      <c r="S370" s="1" t="s">
        <v>6243</v>
      </c>
      <c r="T370" s="1">
        <f t="shared" si="17"/>
        <v>6327</v>
      </c>
      <c r="U370" s="1">
        <f t="shared" si="18"/>
        <v>6327</v>
      </c>
      <c r="V370" s="1">
        <f>1230+5097</f>
        <v>6327</v>
      </c>
    </row>
    <row r="371" spans="1:44" x14ac:dyDescent="0.2">
      <c r="A371" s="18" t="s">
        <v>287</v>
      </c>
      <c r="B371" s="18">
        <v>23040885</v>
      </c>
      <c r="C371" s="18" t="s">
        <v>7421</v>
      </c>
      <c r="D371" s="18"/>
      <c r="E371" s="19">
        <v>177</v>
      </c>
      <c r="F371" s="18"/>
      <c r="G371" s="18" t="s">
        <v>799</v>
      </c>
      <c r="H371" s="18" t="s">
        <v>7052</v>
      </c>
      <c r="I371" s="24">
        <v>41186</v>
      </c>
      <c r="J371" s="18" t="s">
        <v>10</v>
      </c>
      <c r="K371" s="18" t="s">
        <v>1169</v>
      </c>
      <c r="L371" s="18" t="s">
        <v>7812</v>
      </c>
      <c r="M371" s="18"/>
      <c r="N371" s="18" t="s">
        <v>10</v>
      </c>
      <c r="O371" s="18" t="s">
        <v>10</v>
      </c>
      <c r="P371" s="18" t="s">
        <v>7813</v>
      </c>
      <c r="Q371" s="18" t="s">
        <v>7814</v>
      </c>
      <c r="R371" s="18" t="s">
        <v>7815</v>
      </c>
      <c r="S371" s="1" t="s">
        <v>6244</v>
      </c>
      <c r="T371" s="1">
        <f t="shared" si="17"/>
        <v>26586</v>
      </c>
      <c r="U371" s="1">
        <f t="shared" si="18"/>
        <v>12958</v>
      </c>
      <c r="V371" s="1">
        <v>4867</v>
      </c>
      <c r="W371" s="1">
        <v>3447</v>
      </c>
      <c r="Z371" s="1">
        <v>4644</v>
      </c>
      <c r="AH371" s="1">
        <f t="shared" ref="AH371:AH376" si="20">SUM(AI371:AT371)</f>
        <v>13628</v>
      </c>
      <c r="AR371" s="1">
        <f>7202+6426</f>
        <v>13628</v>
      </c>
    </row>
    <row r="372" spans="1:44" x14ac:dyDescent="0.2">
      <c r="A372" s="18" t="s">
        <v>10563</v>
      </c>
      <c r="B372" s="18">
        <v>23041239</v>
      </c>
      <c r="C372" s="18" t="s">
        <v>7421</v>
      </c>
      <c r="D372" s="18"/>
      <c r="E372" s="19">
        <v>25</v>
      </c>
      <c r="F372" s="18"/>
      <c r="G372" s="18" t="s">
        <v>64</v>
      </c>
      <c r="H372" s="18" t="s">
        <v>7170</v>
      </c>
      <c r="I372" s="24">
        <v>41187</v>
      </c>
      <c r="J372" s="18" t="s">
        <v>11</v>
      </c>
      <c r="K372" s="18" t="s">
        <v>31</v>
      </c>
      <c r="L372" s="18" t="s">
        <v>10564</v>
      </c>
      <c r="M372" s="18"/>
      <c r="N372" s="18" t="s">
        <v>10</v>
      </c>
      <c r="O372" s="18" t="s">
        <v>10</v>
      </c>
      <c r="P372" s="18" t="s">
        <v>10565</v>
      </c>
      <c r="Q372" s="18" t="s">
        <v>10566</v>
      </c>
      <c r="R372" s="18" t="s">
        <v>868</v>
      </c>
      <c r="S372" s="1" t="s">
        <v>6244</v>
      </c>
      <c r="T372" s="1">
        <f t="shared" si="17"/>
        <v>116823</v>
      </c>
      <c r="U372" s="1">
        <f t="shared" si="18"/>
        <v>74393</v>
      </c>
      <c r="V372" s="1">
        <f>12389+62004</f>
        <v>74393</v>
      </c>
      <c r="AH372" s="1">
        <f t="shared" si="20"/>
        <v>42430</v>
      </c>
      <c r="AI372" s="1">
        <f>27940+12025</f>
        <v>39965</v>
      </c>
      <c r="AL372" s="1">
        <f>1322+1143</f>
        <v>2465</v>
      </c>
    </row>
    <row r="373" spans="1:44" x14ac:dyDescent="0.2">
      <c r="A373" s="18" t="s">
        <v>1435</v>
      </c>
      <c r="B373" s="18">
        <v>23041938</v>
      </c>
      <c r="C373" s="18" t="s">
        <v>7421</v>
      </c>
      <c r="D373" s="18"/>
      <c r="E373" s="19">
        <v>38</v>
      </c>
      <c r="F373" s="18"/>
      <c r="G373" s="18" t="s">
        <v>7897</v>
      </c>
      <c r="H373" s="18" t="s">
        <v>492</v>
      </c>
      <c r="I373" s="24">
        <v>41188</v>
      </c>
      <c r="J373" s="18" t="s">
        <v>11</v>
      </c>
      <c r="K373" s="18" t="s">
        <v>1944</v>
      </c>
      <c r="L373" s="18" t="s">
        <v>7898</v>
      </c>
      <c r="M373" s="18"/>
      <c r="N373" s="18" t="s">
        <v>10</v>
      </c>
      <c r="O373" s="18" t="s">
        <v>10</v>
      </c>
      <c r="P373" s="18" t="s">
        <v>7899</v>
      </c>
      <c r="Q373" s="18" t="s">
        <v>7900</v>
      </c>
      <c r="R373" s="18" t="s">
        <v>7901</v>
      </c>
      <c r="S373" s="1" t="s">
        <v>6242</v>
      </c>
      <c r="T373" s="1">
        <f t="shared" si="17"/>
        <v>1802</v>
      </c>
      <c r="U373" s="1">
        <f t="shared" si="18"/>
        <v>1167</v>
      </c>
      <c r="X373" s="1">
        <f>367+800</f>
        <v>1167</v>
      </c>
      <c r="AH373" s="1">
        <f t="shared" si="20"/>
        <v>635</v>
      </c>
      <c r="AK373" s="1">
        <f>363+272</f>
        <v>635</v>
      </c>
    </row>
    <row r="374" spans="1:44" x14ac:dyDescent="0.2">
      <c r="A374" s="18" t="s">
        <v>2583</v>
      </c>
      <c r="B374" s="18">
        <v>23042114</v>
      </c>
      <c r="C374" s="18" t="s">
        <v>7421</v>
      </c>
      <c r="D374" s="18"/>
      <c r="E374" s="19">
        <v>200</v>
      </c>
      <c r="F374" s="18"/>
      <c r="G374" s="18" t="s">
        <v>824</v>
      </c>
      <c r="H374" s="18" t="s">
        <v>7858</v>
      </c>
      <c r="I374" s="24">
        <v>41189</v>
      </c>
      <c r="J374" s="18" t="s">
        <v>11</v>
      </c>
      <c r="K374" s="18" t="s">
        <v>28</v>
      </c>
      <c r="L374" s="18" t="s">
        <v>7859</v>
      </c>
      <c r="M374" s="18"/>
      <c r="N374" s="18" t="s">
        <v>10</v>
      </c>
      <c r="O374" s="18" t="s">
        <v>10</v>
      </c>
      <c r="P374" s="18" t="s">
        <v>7860</v>
      </c>
      <c r="Q374" s="18" t="s">
        <v>7861</v>
      </c>
      <c r="R374" s="18" t="s">
        <v>7862</v>
      </c>
      <c r="S374" s="1" t="s">
        <v>6242</v>
      </c>
      <c r="T374" s="1">
        <f t="shared" si="17"/>
        <v>18320</v>
      </c>
      <c r="U374" s="1">
        <f t="shared" si="18"/>
        <v>9443</v>
      </c>
      <c r="X374" s="1">
        <f>1472+7971</f>
        <v>9443</v>
      </c>
      <c r="AH374" s="1">
        <f t="shared" si="20"/>
        <v>8877</v>
      </c>
      <c r="AK374" s="1">
        <f>1856+7021</f>
        <v>8877</v>
      </c>
    </row>
    <row r="375" spans="1:44" x14ac:dyDescent="0.2">
      <c r="A375" s="18" t="s">
        <v>8405</v>
      </c>
      <c r="B375" s="18">
        <v>23042215</v>
      </c>
      <c r="C375" s="18" t="s">
        <v>7421</v>
      </c>
      <c r="D375" s="18"/>
      <c r="E375" s="19">
        <v>13</v>
      </c>
      <c r="F375" s="18"/>
      <c r="G375" s="18" t="s">
        <v>8406</v>
      </c>
      <c r="H375" s="18" t="s">
        <v>236</v>
      </c>
      <c r="I375" s="24">
        <v>41275</v>
      </c>
      <c r="J375" s="18" t="s">
        <v>10</v>
      </c>
      <c r="K375" s="18" t="s">
        <v>1080</v>
      </c>
      <c r="L375" s="18" t="s">
        <v>8407</v>
      </c>
      <c r="M375" s="18"/>
      <c r="N375" s="18" t="s">
        <v>10</v>
      </c>
      <c r="O375" s="18" t="s">
        <v>10</v>
      </c>
      <c r="P375" s="18" t="s">
        <v>8408</v>
      </c>
      <c r="Q375" s="18" t="s">
        <v>8409</v>
      </c>
      <c r="R375" s="18" t="s">
        <v>8410</v>
      </c>
      <c r="S375" s="1" t="s">
        <v>6248</v>
      </c>
      <c r="T375" s="1">
        <f t="shared" si="17"/>
        <v>943</v>
      </c>
      <c r="U375" s="1">
        <f t="shared" si="18"/>
        <v>575</v>
      </c>
      <c r="AE375" s="1">
        <f>274+301</f>
        <v>575</v>
      </c>
      <c r="AH375" s="1">
        <f t="shared" si="20"/>
        <v>368</v>
      </c>
      <c r="AR375" s="1">
        <f>210+158</f>
        <v>368</v>
      </c>
    </row>
    <row r="376" spans="1:44" x14ac:dyDescent="0.2">
      <c r="A376" s="18" t="s">
        <v>199</v>
      </c>
      <c r="B376" s="18">
        <v>23043469</v>
      </c>
      <c r="C376" s="18" t="s">
        <v>7421</v>
      </c>
      <c r="D376" s="18"/>
      <c r="E376" s="19">
        <v>37</v>
      </c>
      <c r="F376" s="18"/>
      <c r="G376" s="18" t="s">
        <v>9106</v>
      </c>
      <c r="H376" s="18" t="s">
        <v>7219</v>
      </c>
      <c r="I376" s="24">
        <v>41191</v>
      </c>
      <c r="J376" s="18" t="s">
        <v>11</v>
      </c>
      <c r="K376" s="18" t="s">
        <v>9107</v>
      </c>
      <c r="L376" s="18" t="s">
        <v>9108</v>
      </c>
      <c r="M376" s="18"/>
      <c r="N376" s="18" t="s">
        <v>10</v>
      </c>
      <c r="O376" s="18" t="s">
        <v>10</v>
      </c>
      <c r="P376" s="18" t="s">
        <v>9109</v>
      </c>
      <c r="Q376" s="18" t="s">
        <v>9110</v>
      </c>
      <c r="R376" s="18" t="s">
        <v>9111</v>
      </c>
      <c r="S376" s="1" t="s">
        <v>6243</v>
      </c>
      <c r="T376" s="1">
        <f t="shared" si="17"/>
        <v>4038</v>
      </c>
      <c r="U376" s="1">
        <f t="shared" si="18"/>
        <v>2322</v>
      </c>
      <c r="V376" s="1">
        <v>2322</v>
      </c>
      <c r="AH376" s="1">
        <f t="shared" si="20"/>
        <v>1716</v>
      </c>
      <c r="AI376" s="1">
        <v>1716</v>
      </c>
    </row>
    <row r="377" spans="1:44" x14ac:dyDescent="0.2">
      <c r="A377" s="18" t="s">
        <v>8112</v>
      </c>
      <c r="B377" s="18">
        <v>23047291</v>
      </c>
      <c r="C377" s="18" t="s">
        <v>7421</v>
      </c>
      <c r="D377" s="18"/>
      <c r="E377" s="19">
        <v>3</v>
      </c>
      <c r="F377" s="18"/>
      <c r="G377" s="18" t="s">
        <v>10640</v>
      </c>
      <c r="H377" s="18" t="s">
        <v>7343</v>
      </c>
      <c r="I377" s="24">
        <v>41228</v>
      </c>
      <c r="J377" s="18" t="s">
        <v>11</v>
      </c>
      <c r="K377" s="18" t="s">
        <v>294</v>
      </c>
      <c r="L377" s="18" t="s">
        <v>10641</v>
      </c>
      <c r="M377" s="18"/>
      <c r="N377" s="18" t="s">
        <v>10</v>
      </c>
      <c r="O377" s="18" t="s">
        <v>10</v>
      </c>
      <c r="P377" s="18" t="s">
        <v>10642</v>
      </c>
      <c r="Q377" s="18" t="s">
        <v>33</v>
      </c>
      <c r="R377" s="18" t="s">
        <v>10643</v>
      </c>
      <c r="S377" s="1" t="s">
        <v>6243</v>
      </c>
      <c r="T377" s="1">
        <f t="shared" si="17"/>
        <v>516</v>
      </c>
      <c r="U377" s="1">
        <f t="shared" si="18"/>
        <v>516</v>
      </c>
      <c r="V377" s="1">
        <v>516</v>
      </c>
    </row>
    <row r="378" spans="1:44" x14ac:dyDescent="0.2">
      <c r="A378" s="18" t="s">
        <v>9685</v>
      </c>
      <c r="B378" s="18">
        <v>23049088</v>
      </c>
      <c r="C378" s="18" t="s">
        <v>7421</v>
      </c>
      <c r="D378" s="18"/>
      <c r="E378" s="19">
        <v>131</v>
      </c>
      <c r="F378" s="18"/>
      <c r="G378" s="18" t="s">
        <v>9686</v>
      </c>
      <c r="H378" s="18" t="s">
        <v>1102</v>
      </c>
      <c r="I378" s="24">
        <v>41248</v>
      </c>
      <c r="J378" s="18" t="s">
        <v>11</v>
      </c>
      <c r="K378" s="18" t="s">
        <v>3232</v>
      </c>
      <c r="L378" s="18" t="s">
        <v>9687</v>
      </c>
      <c r="M378" s="18"/>
      <c r="N378" s="18" t="s">
        <v>10</v>
      </c>
      <c r="O378" s="18" t="s">
        <v>10</v>
      </c>
      <c r="P378" s="18" t="s">
        <v>9688</v>
      </c>
      <c r="Q378" s="18" t="s">
        <v>33</v>
      </c>
      <c r="R378" s="18" t="s">
        <v>9689</v>
      </c>
      <c r="S378" s="1" t="s">
        <v>6243</v>
      </c>
      <c r="T378" s="1">
        <f t="shared" si="17"/>
        <v>1251</v>
      </c>
      <c r="U378" s="1">
        <f t="shared" si="18"/>
        <v>1251</v>
      </c>
      <c r="V378" s="1">
        <f>187+1064</f>
        <v>1251</v>
      </c>
    </row>
    <row r="379" spans="1:44" x14ac:dyDescent="0.2">
      <c r="A379" s="18" t="s">
        <v>9781</v>
      </c>
      <c r="B379" s="18">
        <v>23049750</v>
      </c>
      <c r="C379" s="18" t="s">
        <v>7421</v>
      </c>
      <c r="D379" s="18"/>
      <c r="E379" s="19">
        <v>12</v>
      </c>
      <c r="F379" s="18"/>
      <c r="G379" s="18" t="s">
        <v>2571</v>
      </c>
      <c r="H379" s="18" t="s">
        <v>7156</v>
      </c>
      <c r="I379" s="24">
        <v>41177</v>
      </c>
      <c r="J379" s="18" t="s">
        <v>11</v>
      </c>
      <c r="K379" s="18" t="s">
        <v>181</v>
      </c>
      <c r="L379" s="18" t="s">
        <v>9782</v>
      </c>
      <c r="M379" s="18"/>
      <c r="N379" s="18" t="s">
        <v>10</v>
      </c>
      <c r="O379" s="18" t="s">
        <v>10</v>
      </c>
      <c r="P379" s="18" t="s">
        <v>9783</v>
      </c>
      <c r="Q379" s="18" t="s">
        <v>9784</v>
      </c>
      <c r="R379" s="18" t="s">
        <v>9785</v>
      </c>
      <c r="S379" s="1" t="s">
        <v>6242</v>
      </c>
      <c r="T379" s="1">
        <f t="shared" si="17"/>
        <v>17158</v>
      </c>
      <c r="U379" s="1">
        <f t="shared" si="18"/>
        <v>11696</v>
      </c>
      <c r="X379" s="1">
        <v>11696</v>
      </c>
      <c r="AH379" s="1">
        <f>SUM(AI379:AT379)</f>
        <v>5462</v>
      </c>
      <c r="AK379" s="1">
        <v>5462</v>
      </c>
    </row>
    <row r="380" spans="1:44" x14ac:dyDescent="0.2">
      <c r="A380" s="18" t="s">
        <v>1135</v>
      </c>
      <c r="B380" s="18">
        <v>23049896</v>
      </c>
      <c r="C380" s="18" t="s">
        <v>7421</v>
      </c>
      <c r="D380" s="18"/>
      <c r="E380" s="19">
        <v>10</v>
      </c>
      <c r="F380" s="18"/>
      <c r="G380" s="18" t="s">
        <v>9734</v>
      </c>
      <c r="H380" s="18" t="s">
        <v>9735</v>
      </c>
      <c r="I380" s="24">
        <v>41177</v>
      </c>
      <c r="J380" s="18" t="s">
        <v>10</v>
      </c>
      <c r="K380" s="18" t="s">
        <v>181</v>
      </c>
      <c r="L380" s="18" t="s">
        <v>9736</v>
      </c>
      <c r="M380" s="18"/>
      <c r="N380" s="18" t="s">
        <v>10</v>
      </c>
      <c r="O380" s="18" t="s">
        <v>10</v>
      </c>
      <c r="P380" s="18" t="s">
        <v>9737</v>
      </c>
      <c r="Q380" s="18" t="s">
        <v>33</v>
      </c>
      <c r="R380" s="18" t="s">
        <v>9738</v>
      </c>
      <c r="S380" s="1" t="s">
        <v>6244</v>
      </c>
      <c r="T380" s="1">
        <f t="shared" si="17"/>
        <v>316</v>
      </c>
      <c r="U380" s="1">
        <f t="shared" si="18"/>
        <v>316</v>
      </c>
      <c r="V380" s="1">
        <v>209</v>
      </c>
      <c r="W380" s="1">
        <v>70</v>
      </c>
      <c r="AD380" s="1">
        <v>37</v>
      </c>
    </row>
    <row r="381" spans="1:44" x14ac:dyDescent="0.2">
      <c r="A381" s="18" t="s">
        <v>1435</v>
      </c>
      <c r="B381" s="18">
        <v>23053960</v>
      </c>
      <c r="C381" s="18" t="s">
        <v>7421</v>
      </c>
      <c r="D381" s="18"/>
      <c r="E381" s="19">
        <v>50</v>
      </c>
      <c r="F381" s="18"/>
      <c r="G381" s="18" t="s">
        <v>10603</v>
      </c>
      <c r="H381" s="18" t="s">
        <v>10604</v>
      </c>
      <c r="I381" s="24">
        <v>41189</v>
      </c>
      <c r="J381" s="18" t="s">
        <v>11</v>
      </c>
      <c r="K381" s="18" t="s">
        <v>10605</v>
      </c>
      <c r="L381" s="18" t="s">
        <v>10606</v>
      </c>
      <c r="M381" s="18"/>
      <c r="N381" s="18" t="s">
        <v>10</v>
      </c>
      <c r="O381" s="18" t="s">
        <v>10</v>
      </c>
      <c r="P381" s="18" t="s">
        <v>10607</v>
      </c>
      <c r="Q381" s="18" t="s">
        <v>33</v>
      </c>
      <c r="R381" s="18" t="s">
        <v>10608</v>
      </c>
      <c r="S381" s="1" t="s">
        <v>6243</v>
      </c>
      <c r="T381" s="1">
        <f t="shared" si="17"/>
        <v>4948</v>
      </c>
      <c r="U381" s="1">
        <f t="shared" si="18"/>
        <v>4948</v>
      </c>
      <c r="V381" s="1">
        <f>1527+3421</f>
        <v>4948</v>
      </c>
    </row>
    <row r="382" spans="1:44" x14ac:dyDescent="0.2">
      <c r="A382" s="18" t="s">
        <v>10038</v>
      </c>
      <c r="B382" s="18">
        <v>23054467</v>
      </c>
      <c r="C382" s="18" t="s">
        <v>7421</v>
      </c>
      <c r="D382" s="18"/>
      <c r="E382" s="19">
        <v>14</v>
      </c>
      <c r="F382" s="18"/>
      <c r="G382" s="18" t="s">
        <v>10039</v>
      </c>
      <c r="H382" s="18" t="s">
        <v>10040</v>
      </c>
      <c r="I382" s="24">
        <v>41186</v>
      </c>
      <c r="J382" s="18" t="s">
        <v>11</v>
      </c>
      <c r="K382" s="18" t="s">
        <v>10041</v>
      </c>
      <c r="L382" s="18" t="s">
        <v>10042</v>
      </c>
      <c r="M382" s="18"/>
      <c r="N382" s="18" t="s">
        <v>10</v>
      </c>
      <c r="O382" s="18" t="s">
        <v>10</v>
      </c>
      <c r="P382" s="18" t="s">
        <v>10043</v>
      </c>
      <c r="Q382" s="18" t="s">
        <v>33</v>
      </c>
      <c r="R382" s="18" t="s">
        <v>10044</v>
      </c>
      <c r="S382" s="1" t="s">
        <v>6243</v>
      </c>
      <c r="T382" s="1">
        <f t="shared" si="17"/>
        <v>289</v>
      </c>
      <c r="U382" s="1">
        <f t="shared" si="18"/>
        <v>289</v>
      </c>
      <c r="V382" s="1">
        <v>289</v>
      </c>
    </row>
    <row r="383" spans="1:44" x14ac:dyDescent="0.2">
      <c r="A383" s="18" t="s">
        <v>9668</v>
      </c>
      <c r="B383" s="18">
        <v>23055271</v>
      </c>
      <c r="C383" s="18" t="s">
        <v>7421</v>
      </c>
      <c r="D383" s="18"/>
      <c r="E383" s="19">
        <v>372</v>
      </c>
      <c r="F383" s="18"/>
      <c r="G383" s="18" t="s">
        <v>9669</v>
      </c>
      <c r="H383" s="18" t="s">
        <v>9670</v>
      </c>
      <c r="I383" s="24">
        <v>41106</v>
      </c>
      <c r="J383" s="18" t="s">
        <v>11</v>
      </c>
      <c r="K383" s="18" t="s">
        <v>549</v>
      </c>
      <c r="L383" s="18" t="s">
        <v>9671</v>
      </c>
      <c r="M383" s="18"/>
      <c r="N383" s="18" t="s">
        <v>10</v>
      </c>
      <c r="O383" s="18" t="s">
        <v>10</v>
      </c>
      <c r="P383" s="18" t="s">
        <v>9672</v>
      </c>
      <c r="Q383" s="18" t="s">
        <v>9673</v>
      </c>
      <c r="R383" s="18" t="s">
        <v>9674</v>
      </c>
      <c r="S383" s="1" t="s">
        <v>6243</v>
      </c>
      <c r="T383" s="1">
        <f t="shared" si="17"/>
        <v>9569</v>
      </c>
      <c r="U383" s="1">
        <f t="shared" si="18"/>
        <v>5905</v>
      </c>
      <c r="V383" s="1">
        <v>5905</v>
      </c>
      <c r="AH383" s="1">
        <f>SUM(AI383:AT383)</f>
        <v>3664</v>
      </c>
      <c r="AI383" s="1">
        <f>249+3415</f>
        <v>3664</v>
      </c>
    </row>
    <row r="384" spans="1:44" x14ac:dyDescent="0.2">
      <c r="A384" s="18" t="s">
        <v>8340</v>
      </c>
      <c r="B384" s="18">
        <v>23056639</v>
      </c>
      <c r="C384" s="18" t="s">
        <v>7421</v>
      </c>
      <c r="D384" s="18"/>
      <c r="E384" s="19">
        <v>367</v>
      </c>
      <c r="F384" s="18"/>
      <c r="G384" s="18" t="s">
        <v>8341</v>
      </c>
      <c r="H384" s="18" t="s">
        <v>7219</v>
      </c>
      <c r="I384" s="24">
        <v>41191</v>
      </c>
      <c r="J384" s="18" t="s">
        <v>11</v>
      </c>
      <c r="K384" s="18" t="s">
        <v>181</v>
      </c>
      <c r="L384" s="18" t="s">
        <v>8342</v>
      </c>
      <c r="M384" s="18"/>
      <c r="N384" s="18" t="s">
        <v>10</v>
      </c>
      <c r="O384" s="18" t="s">
        <v>10</v>
      </c>
      <c r="P384" s="18" t="s">
        <v>8343</v>
      </c>
      <c r="Q384" s="18" t="s">
        <v>8344</v>
      </c>
      <c r="R384" s="18" t="s">
        <v>8345</v>
      </c>
      <c r="S384" s="1" t="s">
        <v>6243</v>
      </c>
      <c r="T384" s="1">
        <f t="shared" si="17"/>
        <v>7292</v>
      </c>
      <c r="U384" s="1">
        <f t="shared" si="18"/>
        <v>3776</v>
      </c>
      <c r="V384" s="1">
        <v>3776</v>
      </c>
      <c r="AH384" s="1">
        <f>SUM(AI384:AT384)</f>
        <v>3516</v>
      </c>
      <c r="AR384" s="1">
        <v>3516</v>
      </c>
    </row>
    <row r="385" spans="1:44" x14ac:dyDescent="0.2">
      <c r="A385" s="18" t="s">
        <v>9390</v>
      </c>
      <c r="B385" s="18">
        <v>23063622</v>
      </c>
      <c r="C385" s="18" t="s">
        <v>7421</v>
      </c>
      <c r="D385" s="18"/>
      <c r="E385" s="19">
        <v>2568</v>
      </c>
      <c r="F385" s="18"/>
      <c r="G385" s="18" t="s">
        <v>242</v>
      </c>
      <c r="H385" s="18" t="s">
        <v>7160</v>
      </c>
      <c r="I385" s="24">
        <v>41193</v>
      </c>
      <c r="J385" s="18" t="s">
        <v>10</v>
      </c>
      <c r="K385" s="18" t="s">
        <v>16</v>
      </c>
      <c r="L385" s="18" t="s">
        <v>9391</v>
      </c>
      <c r="M385" s="18"/>
      <c r="N385" s="18" t="s">
        <v>10</v>
      </c>
      <c r="O385" s="18" t="s">
        <v>10</v>
      </c>
      <c r="P385" s="18" t="s">
        <v>9392</v>
      </c>
      <c r="Q385" s="18" t="s">
        <v>9393</v>
      </c>
      <c r="R385" s="18" t="s">
        <v>9394</v>
      </c>
      <c r="S385" s="1" t="s">
        <v>6243</v>
      </c>
      <c r="T385" s="1">
        <f t="shared" si="17"/>
        <v>91522</v>
      </c>
      <c r="U385" s="1">
        <f t="shared" si="18"/>
        <v>66240</v>
      </c>
      <c r="V385" s="1">
        <v>66240</v>
      </c>
      <c r="AH385" s="1">
        <f>SUM(AI385:AT385)</f>
        <v>25282</v>
      </c>
      <c r="AI385" s="1">
        <v>25282</v>
      </c>
    </row>
    <row r="386" spans="1:44" x14ac:dyDescent="0.2">
      <c r="A386" s="18" t="s">
        <v>3069</v>
      </c>
      <c r="B386" s="18">
        <v>23064961</v>
      </c>
      <c r="C386" s="18" t="s">
        <v>7421</v>
      </c>
      <c r="D386" s="18"/>
      <c r="E386" s="19">
        <v>28</v>
      </c>
      <c r="F386" s="18"/>
      <c r="G386" s="18" t="s">
        <v>8616</v>
      </c>
      <c r="H386" s="18" t="s">
        <v>7068</v>
      </c>
      <c r="I386" s="24">
        <v>41193</v>
      </c>
      <c r="J386" s="18" t="s">
        <v>11</v>
      </c>
      <c r="K386" s="18" t="s">
        <v>3117</v>
      </c>
      <c r="L386" s="18" t="s">
        <v>8617</v>
      </c>
      <c r="M386" s="18"/>
      <c r="N386" s="18" t="s">
        <v>10</v>
      </c>
      <c r="O386" s="18" t="s">
        <v>10</v>
      </c>
      <c r="P386" s="18" t="s">
        <v>8618</v>
      </c>
      <c r="Q386" s="18" t="s">
        <v>33</v>
      </c>
      <c r="R386" s="18" t="s">
        <v>8619</v>
      </c>
      <c r="S386" s="1" t="s">
        <v>6243</v>
      </c>
      <c r="T386" s="1">
        <f t="shared" ref="T386:T449" si="21">SUM(U386,AH386)</f>
        <v>920</v>
      </c>
      <c r="U386" s="1">
        <f t="shared" ref="U386:U449" si="22">SUM(V386:AG386)</f>
        <v>920</v>
      </c>
      <c r="V386" s="1">
        <v>920</v>
      </c>
    </row>
    <row r="387" spans="1:44" x14ac:dyDescent="0.2">
      <c r="A387" s="18" t="s">
        <v>10149</v>
      </c>
      <c r="B387" s="18">
        <v>23065704</v>
      </c>
      <c r="C387" s="18" t="s">
        <v>7421</v>
      </c>
      <c r="D387" s="18"/>
      <c r="E387" s="19">
        <v>5</v>
      </c>
      <c r="F387" s="18"/>
      <c r="G387" s="18" t="s">
        <v>77</v>
      </c>
      <c r="H387" s="18" t="s">
        <v>6689</v>
      </c>
      <c r="I387" s="24">
        <v>41215</v>
      </c>
      <c r="J387" s="18" t="s">
        <v>11</v>
      </c>
      <c r="K387" s="18" t="s">
        <v>103</v>
      </c>
      <c r="L387" s="18" t="s">
        <v>10150</v>
      </c>
      <c r="M387" s="18"/>
      <c r="N387" s="18" t="s">
        <v>11</v>
      </c>
      <c r="O387" s="18" t="s">
        <v>11</v>
      </c>
      <c r="P387" s="18" t="s">
        <v>10151</v>
      </c>
      <c r="Q387" s="18" t="s">
        <v>10152</v>
      </c>
      <c r="R387" s="18" t="s">
        <v>10153</v>
      </c>
      <c r="S387" s="1" t="s">
        <v>6243</v>
      </c>
      <c r="T387" s="1">
        <f t="shared" si="21"/>
        <v>71669</v>
      </c>
      <c r="U387" s="1">
        <f t="shared" si="22"/>
        <v>22548</v>
      </c>
      <c r="V387" s="1">
        <f>5132+5953+11463</f>
        <v>22548</v>
      </c>
      <c r="AH387" s="1">
        <f>SUM(AI387:AT387)</f>
        <v>49121</v>
      </c>
      <c r="AI387" s="1">
        <f>24726+2008+22387</f>
        <v>49121</v>
      </c>
    </row>
    <row r="388" spans="1:44" x14ac:dyDescent="0.2">
      <c r="A388" s="18" t="s">
        <v>8833</v>
      </c>
      <c r="B388" s="18">
        <v>23067351</v>
      </c>
      <c r="C388" s="18" t="s">
        <v>7421</v>
      </c>
      <c r="D388" s="18"/>
      <c r="E388" s="19">
        <v>3</v>
      </c>
      <c r="F388" s="18"/>
      <c r="G388" s="18" t="s">
        <v>3125</v>
      </c>
      <c r="H388" s="18" t="s">
        <v>7160</v>
      </c>
      <c r="I388" s="24">
        <v>41144</v>
      </c>
      <c r="J388" s="18" t="s">
        <v>11</v>
      </c>
      <c r="K388" s="18" t="s">
        <v>2146</v>
      </c>
      <c r="L388" s="18" t="s">
        <v>9340</v>
      </c>
      <c r="M388" s="18"/>
      <c r="N388" s="18" t="s">
        <v>10</v>
      </c>
      <c r="O388" s="18" t="s">
        <v>10</v>
      </c>
      <c r="P388" s="18" t="s">
        <v>9341</v>
      </c>
      <c r="Q388" s="18" t="s">
        <v>33</v>
      </c>
      <c r="R388" s="18" t="s">
        <v>9342</v>
      </c>
      <c r="S388" s="1" t="s">
        <v>6440</v>
      </c>
      <c r="T388" s="1">
        <f t="shared" si="21"/>
        <v>1249</v>
      </c>
      <c r="U388" s="1">
        <f t="shared" si="22"/>
        <v>1249</v>
      </c>
      <c r="W388" s="1">
        <v>1249</v>
      </c>
    </row>
    <row r="389" spans="1:44" x14ac:dyDescent="0.2">
      <c r="A389" s="18" t="s">
        <v>7932</v>
      </c>
      <c r="B389" s="18">
        <v>23070075</v>
      </c>
      <c r="C389" s="18" t="s">
        <v>7421</v>
      </c>
      <c r="D389" s="18"/>
      <c r="E389" s="19">
        <v>29</v>
      </c>
      <c r="F389" s="18"/>
      <c r="G389" s="18" t="s">
        <v>112</v>
      </c>
      <c r="H389" s="18" t="s">
        <v>7145</v>
      </c>
      <c r="I389" s="24">
        <v>41198</v>
      </c>
      <c r="J389" s="18" t="s">
        <v>10</v>
      </c>
      <c r="K389" s="18" t="s">
        <v>71</v>
      </c>
      <c r="L389" s="18" t="s">
        <v>7933</v>
      </c>
      <c r="M389" s="18"/>
      <c r="N389" s="18" t="s">
        <v>10</v>
      </c>
      <c r="O389" s="18" t="s">
        <v>10</v>
      </c>
      <c r="P389" s="18" t="s">
        <v>7934</v>
      </c>
      <c r="Q389" s="18" t="s">
        <v>33</v>
      </c>
      <c r="R389" s="18" t="s">
        <v>7935</v>
      </c>
      <c r="S389" s="1" t="s">
        <v>6243</v>
      </c>
      <c r="T389" s="1">
        <f t="shared" si="21"/>
        <v>7486</v>
      </c>
      <c r="U389" s="1">
        <f t="shared" si="22"/>
        <v>7486</v>
      </c>
      <c r="V389" s="1">
        <f>2893+4593</f>
        <v>7486</v>
      </c>
    </row>
    <row r="390" spans="1:44" x14ac:dyDescent="0.2">
      <c r="A390" s="18" t="s">
        <v>1319</v>
      </c>
      <c r="B390" s="18">
        <v>23074152</v>
      </c>
      <c r="C390" s="18" t="s">
        <v>7421</v>
      </c>
      <c r="D390" s="18"/>
      <c r="E390" s="19">
        <v>91</v>
      </c>
      <c r="F390" s="18"/>
      <c r="G390" s="18" t="s">
        <v>8080</v>
      </c>
      <c r="H390" s="18" t="s">
        <v>8081</v>
      </c>
      <c r="I390" s="24">
        <v>41198</v>
      </c>
      <c r="J390" s="18" t="s">
        <v>10</v>
      </c>
      <c r="K390" s="18" t="s">
        <v>1145</v>
      </c>
      <c r="L390" s="18" t="s">
        <v>8082</v>
      </c>
      <c r="M390" s="18"/>
      <c r="N390" s="18" t="s">
        <v>11</v>
      </c>
      <c r="O390" s="18" t="s">
        <v>11</v>
      </c>
      <c r="P390" s="18" t="s">
        <v>8083</v>
      </c>
      <c r="Q390" s="18" t="s">
        <v>8084</v>
      </c>
      <c r="R390" s="18" t="s">
        <v>8085</v>
      </c>
      <c r="S390" s="1" t="s">
        <v>6244</v>
      </c>
      <c r="T390" s="1">
        <f t="shared" si="21"/>
        <v>9658</v>
      </c>
      <c r="U390" s="1">
        <f t="shared" si="22"/>
        <v>4061</v>
      </c>
      <c r="V390" s="1">
        <v>4061</v>
      </c>
      <c r="AH390" s="1">
        <f>SUM(AI390:AT390)</f>
        <v>5597</v>
      </c>
      <c r="AI390" s="1">
        <v>4158</v>
      </c>
      <c r="AJ390" s="1">
        <v>1090</v>
      </c>
      <c r="AK390" s="1">
        <v>349</v>
      </c>
    </row>
    <row r="391" spans="1:44" x14ac:dyDescent="0.2">
      <c r="A391" s="18" t="s">
        <v>7745</v>
      </c>
      <c r="B391" s="18">
        <v>23077488</v>
      </c>
      <c r="C391" s="18" t="s">
        <v>7421</v>
      </c>
      <c r="D391" s="18"/>
      <c r="E391" s="19">
        <v>59</v>
      </c>
      <c r="F391" s="18"/>
      <c r="G391" s="18" t="s">
        <v>7746</v>
      </c>
      <c r="H391" s="18" t="s">
        <v>179</v>
      </c>
      <c r="I391" s="24">
        <v>41197</v>
      </c>
      <c r="J391" s="18" t="s">
        <v>10</v>
      </c>
      <c r="K391" s="18" t="s">
        <v>181</v>
      </c>
      <c r="L391" s="18" t="s">
        <v>7747</v>
      </c>
      <c r="M391" s="18"/>
      <c r="N391" s="18" t="s">
        <v>10</v>
      </c>
      <c r="O391" s="18" t="s">
        <v>10</v>
      </c>
      <c r="P391" s="18" t="s">
        <v>7748</v>
      </c>
      <c r="Q391" s="18" t="s">
        <v>33</v>
      </c>
      <c r="R391" s="18" t="s">
        <v>7749</v>
      </c>
      <c r="S391" s="1" t="s">
        <v>6243</v>
      </c>
      <c r="T391" s="1">
        <f t="shared" si="21"/>
        <v>4816</v>
      </c>
      <c r="U391" s="1">
        <f t="shared" si="22"/>
        <v>4816</v>
      </c>
      <c r="V391" s="1">
        <f>4816</f>
        <v>4816</v>
      </c>
    </row>
    <row r="392" spans="1:44" x14ac:dyDescent="0.2">
      <c r="A392" s="18" t="s">
        <v>9147</v>
      </c>
      <c r="B392" s="18">
        <v>23080225</v>
      </c>
      <c r="C392" s="18" t="s">
        <v>7421</v>
      </c>
      <c r="D392" s="18"/>
      <c r="E392" s="19">
        <v>21</v>
      </c>
      <c r="F392" s="18"/>
      <c r="G392" s="18" t="s">
        <v>9148</v>
      </c>
      <c r="H392" s="18" t="s">
        <v>7173</v>
      </c>
      <c r="I392" s="24">
        <v>41985</v>
      </c>
      <c r="J392" s="18" t="s">
        <v>10</v>
      </c>
      <c r="K392" s="18" t="s">
        <v>294</v>
      </c>
      <c r="L392" s="18" t="s">
        <v>9149</v>
      </c>
      <c r="M392" s="18"/>
      <c r="N392" s="18" t="s">
        <v>10</v>
      </c>
      <c r="O392" s="18" t="s">
        <v>10</v>
      </c>
      <c r="P392" s="18" t="s">
        <v>9150</v>
      </c>
      <c r="Q392" s="18" t="s">
        <v>9151</v>
      </c>
      <c r="R392" s="18" t="s">
        <v>7683</v>
      </c>
      <c r="S392" s="1" t="s">
        <v>6244</v>
      </c>
      <c r="T392" s="1">
        <f t="shared" si="21"/>
        <v>1096</v>
      </c>
      <c r="U392" s="1">
        <f t="shared" si="22"/>
        <v>856</v>
      </c>
      <c r="AD392" s="1">
        <v>856</v>
      </c>
      <c r="AH392" s="1">
        <f>SUM(AI392:AT392)</f>
        <v>240</v>
      </c>
      <c r="AQ392" s="1">
        <v>240</v>
      </c>
    </row>
    <row r="393" spans="1:44" x14ac:dyDescent="0.2">
      <c r="A393" s="18" t="s">
        <v>1543</v>
      </c>
      <c r="B393" s="18">
        <v>23089632</v>
      </c>
      <c r="C393" s="18" t="s">
        <v>7421</v>
      </c>
      <c r="D393" s="18"/>
      <c r="E393" s="19">
        <v>114</v>
      </c>
      <c r="F393" s="18"/>
      <c r="G393" s="18" t="s">
        <v>968</v>
      </c>
      <c r="H393" s="18" t="s">
        <v>7207</v>
      </c>
      <c r="I393" s="24">
        <v>41205</v>
      </c>
      <c r="J393" s="18" t="s">
        <v>10</v>
      </c>
      <c r="K393" s="18" t="s">
        <v>71</v>
      </c>
      <c r="L393" s="18" t="s">
        <v>7583</v>
      </c>
      <c r="M393" s="18"/>
      <c r="N393" s="18" t="s">
        <v>10</v>
      </c>
      <c r="O393" s="18" t="s">
        <v>10</v>
      </c>
      <c r="P393" s="18" t="s">
        <v>7584</v>
      </c>
      <c r="Q393" s="18" t="s">
        <v>7585</v>
      </c>
      <c r="R393" s="18" t="s">
        <v>7586</v>
      </c>
      <c r="S393" s="1" t="s">
        <v>6243</v>
      </c>
      <c r="T393" s="1">
        <f t="shared" si="21"/>
        <v>10823</v>
      </c>
      <c r="U393" s="1">
        <f t="shared" si="22"/>
        <v>2010</v>
      </c>
      <c r="V393" s="1">
        <v>2010</v>
      </c>
      <c r="AH393" s="1">
        <f>SUM(AI393:AT393)</f>
        <v>8813</v>
      </c>
      <c r="AI393" s="1">
        <v>8813</v>
      </c>
    </row>
    <row r="394" spans="1:44" x14ac:dyDescent="0.2">
      <c r="A394" s="18" t="s">
        <v>7701</v>
      </c>
      <c r="B394" s="18">
        <v>23091423</v>
      </c>
      <c r="C394" s="18" t="s">
        <v>7421</v>
      </c>
      <c r="D394" s="18"/>
      <c r="E394" s="19">
        <v>220</v>
      </c>
      <c r="F394" s="18"/>
      <c r="G394" s="18" t="s">
        <v>7702</v>
      </c>
      <c r="H394" s="18" t="s">
        <v>7703</v>
      </c>
      <c r="I394" s="24">
        <v>41198</v>
      </c>
      <c r="J394" s="18" t="s">
        <v>10</v>
      </c>
      <c r="K394" s="18" t="s">
        <v>7704</v>
      </c>
      <c r="L394" s="18" t="s">
        <v>7705</v>
      </c>
      <c r="M394" s="18"/>
      <c r="N394" s="18" t="s">
        <v>10</v>
      </c>
      <c r="O394" s="18" t="s">
        <v>10</v>
      </c>
      <c r="P394" s="18" t="s">
        <v>7706</v>
      </c>
      <c r="Q394" s="18" t="s">
        <v>33</v>
      </c>
      <c r="R394" s="18" t="s">
        <v>7707</v>
      </c>
      <c r="S394" s="1" t="s">
        <v>6243</v>
      </c>
      <c r="T394" s="1">
        <f t="shared" si="21"/>
        <v>1790</v>
      </c>
      <c r="U394" s="1">
        <f t="shared" si="22"/>
        <v>1790</v>
      </c>
      <c r="V394" s="1">
        <v>1790</v>
      </c>
    </row>
    <row r="395" spans="1:44" x14ac:dyDescent="0.2">
      <c r="A395" s="18" t="s">
        <v>7936</v>
      </c>
      <c r="B395" s="18">
        <v>23092984</v>
      </c>
      <c r="C395" s="18" t="s">
        <v>7421</v>
      </c>
      <c r="D395" s="18"/>
      <c r="E395" s="19">
        <v>18</v>
      </c>
      <c r="F395" s="18"/>
      <c r="G395" s="18" t="s">
        <v>7937</v>
      </c>
      <c r="H395" s="18" t="s">
        <v>7145</v>
      </c>
      <c r="I395" s="24">
        <v>41205</v>
      </c>
      <c r="J395" s="18" t="s">
        <v>11</v>
      </c>
      <c r="K395" s="18" t="s">
        <v>7641</v>
      </c>
      <c r="L395" s="18" t="s">
        <v>7938</v>
      </c>
      <c r="M395" s="18"/>
      <c r="N395" s="18" t="s">
        <v>10</v>
      </c>
      <c r="O395" s="18" t="s">
        <v>10</v>
      </c>
      <c r="P395" s="18" t="s">
        <v>7939</v>
      </c>
      <c r="Q395" s="18" t="s">
        <v>33</v>
      </c>
      <c r="R395" s="18" t="s">
        <v>7940</v>
      </c>
      <c r="S395" s="1" t="s">
        <v>6244</v>
      </c>
      <c r="T395" s="1">
        <f t="shared" si="21"/>
        <v>10344</v>
      </c>
      <c r="U395" s="1">
        <f t="shared" si="22"/>
        <v>10344</v>
      </c>
      <c r="V395" s="1">
        <v>1236</v>
      </c>
      <c r="AD395" s="1">
        <f>8148+960</f>
        <v>9108</v>
      </c>
    </row>
    <row r="396" spans="1:44" x14ac:dyDescent="0.2">
      <c r="A396" s="18" t="s">
        <v>10316</v>
      </c>
      <c r="B396" s="18">
        <v>23100282</v>
      </c>
      <c r="C396" s="18" t="s">
        <v>7421</v>
      </c>
      <c r="D396" s="18"/>
      <c r="E396" s="19">
        <v>139</v>
      </c>
      <c r="F396" s="18"/>
      <c r="G396" s="18" t="s">
        <v>10317</v>
      </c>
      <c r="H396" s="18" t="s">
        <v>7312</v>
      </c>
      <c r="I396" s="24">
        <v>41206</v>
      </c>
      <c r="J396" s="18" t="s">
        <v>11</v>
      </c>
      <c r="K396" s="18" t="s">
        <v>1881</v>
      </c>
      <c r="L396" s="18" t="s">
        <v>10318</v>
      </c>
      <c r="M396" s="18"/>
      <c r="N396" s="18" t="s">
        <v>10</v>
      </c>
      <c r="O396" s="18" t="s">
        <v>10</v>
      </c>
      <c r="P396" s="18" t="s">
        <v>10319</v>
      </c>
      <c r="Q396" s="18" t="s">
        <v>10320</v>
      </c>
      <c r="R396" s="18" t="s">
        <v>10321</v>
      </c>
      <c r="S396" s="1" t="s">
        <v>6243</v>
      </c>
      <c r="T396" s="1">
        <f t="shared" si="21"/>
        <v>18705</v>
      </c>
      <c r="U396" s="1">
        <f t="shared" si="22"/>
        <v>3895</v>
      </c>
      <c r="V396" s="1">
        <v>3895</v>
      </c>
      <c r="AH396" s="1">
        <f t="shared" ref="AH396:AH405" si="23">SUM(AI396:AT396)</f>
        <v>14810</v>
      </c>
      <c r="AR396" s="1">
        <v>14810</v>
      </c>
    </row>
    <row r="397" spans="1:44" x14ac:dyDescent="0.2">
      <c r="A397" s="18" t="s">
        <v>1451</v>
      </c>
      <c r="B397" s="18">
        <v>23103227</v>
      </c>
      <c r="C397" s="18" t="s">
        <v>7421</v>
      </c>
      <c r="D397" s="18"/>
      <c r="E397" s="19">
        <v>20</v>
      </c>
      <c r="F397" s="18"/>
      <c r="G397" s="18" t="s">
        <v>9637</v>
      </c>
      <c r="H397" s="18" t="s">
        <v>9638</v>
      </c>
      <c r="I397" s="24">
        <v>41207</v>
      </c>
      <c r="J397" s="18" t="s">
        <v>11</v>
      </c>
      <c r="K397" s="18" t="s">
        <v>16</v>
      </c>
      <c r="L397" s="18" t="s">
        <v>9639</v>
      </c>
      <c r="M397" s="18"/>
      <c r="N397" s="18" t="s">
        <v>10</v>
      </c>
      <c r="O397" s="18" t="s">
        <v>10</v>
      </c>
      <c r="P397" s="18" t="s">
        <v>9640</v>
      </c>
      <c r="Q397" s="18" t="s">
        <v>9641</v>
      </c>
      <c r="R397" s="18" t="s">
        <v>10234</v>
      </c>
      <c r="S397" s="1" t="s">
        <v>6242</v>
      </c>
      <c r="T397" s="1">
        <f t="shared" si="21"/>
        <v>15369</v>
      </c>
      <c r="U397" s="1">
        <f t="shared" si="22"/>
        <v>9374</v>
      </c>
      <c r="X397" s="1">
        <f>4006+2331+1006+2031</f>
        <v>9374</v>
      </c>
      <c r="AH397" s="1">
        <f t="shared" si="23"/>
        <v>5995</v>
      </c>
      <c r="AK397" s="1">
        <f>2665+3330</f>
        <v>5995</v>
      </c>
    </row>
    <row r="398" spans="1:44" x14ac:dyDescent="0.2">
      <c r="A398" s="18" t="s">
        <v>8734</v>
      </c>
      <c r="B398" s="18">
        <v>23104006</v>
      </c>
      <c r="C398" s="18" t="s">
        <v>7421</v>
      </c>
      <c r="D398" s="18"/>
      <c r="E398" s="19">
        <v>1386</v>
      </c>
      <c r="F398" s="18"/>
      <c r="G398" s="18" t="s">
        <v>1608</v>
      </c>
      <c r="H398" s="18" t="s">
        <v>7032</v>
      </c>
      <c r="I398" s="24">
        <v>41210</v>
      </c>
      <c r="J398" s="18" t="s">
        <v>11</v>
      </c>
      <c r="K398" s="18" t="s">
        <v>28</v>
      </c>
      <c r="L398" s="18" t="s">
        <v>8735</v>
      </c>
      <c r="M398" s="18"/>
      <c r="N398" s="18" t="s">
        <v>11</v>
      </c>
      <c r="O398" s="18" t="s">
        <v>11</v>
      </c>
      <c r="P398" s="18" t="s">
        <v>8736</v>
      </c>
      <c r="Q398" s="18" t="s">
        <v>8737</v>
      </c>
      <c r="R398" s="18" t="s">
        <v>8738</v>
      </c>
      <c r="S398" s="1" t="s">
        <v>6244</v>
      </c>
      <c r="T398" s="1">
        <f t="shared" si="21"/>
        <v>19058</v>
      </c>
      <c r="U398" s="1">
        <f t="shared" si="22"/>
        <v>13997</v>
      </c>
      <c r="V398" s="1">
        <f>3181+8075</f>
        <v>11256</v>
      </c>
      <c r="X398" s="1">
        <f>1318+1423</f>
        <v>2741</v>
      </c>
      <c r="AH398" s="1">
        <f t="shared" si="23"/>
        <v>5061</v>
      </c>
      <c r="AK398" s="1">
        <f>1044+4017</f>
        <v>5061</v>
      </c>
    </row>
    <row r="399" spans="1:44" x14ac:dyDescent="0.2">
      <c r="A399" s="18" t="s">
        <v>1543</v>
      </c>
      <c r="B399" s="18">
        <v>23108145</v>
      </c>
      <c r="C399" s="18" t="s">
        <v>7421</v>
      </c>
      <c r="D399" s="18"/>
      <c r="E399" s="19">
        <v>73</v>
      </c>
      <c r="F399" s="18"/>
      <c r="G399" s="18" t="s">
        <v>9438</v>
      </c>
      <c r="H399" s="18" t="s">
        <v>9439</v>
      </c>
      <c r="I399" s="24">
        <v>41211</v>
      </c>
      <c r="J399" s="18" t="s">
        <v>11</v>
      </c>
      <c r="K399" s="18" t="s">
        <v>662</v>
      </c>
      <c r="L399" s="18" t="s">
        <v>9440</v>
      </c>
      <c r="M399" s="18"/>
      <c r="N399" s="18" t="s">
        <v>10</v>
      </c>
      <c r="O399" s="18" t="s">
        <v>10</v>
      </c>
      <c r="P399" s="18" t="s">
        <v>9441</v>
      </c>
      <c r="Q399" s="18" t="s">
        <v>9442</v>
      </c>
      <c r="R399" s="18" t="s">
        <v>9443</v>
      </c>
      <c r="S399" s="1" t="s">
        <v>6243</v>
      </c>
      <c r="T399" s="1">
        <f t="shared" si="21"/>
        <v>3148</v>
      </c>
      <c r="U399" s="1">
        <f t="shared" si="22"/>
        <v>1774</v>
      </c>
      <c r="V399" s="1">
        <f>914+860</f>
        <v>1774</v>
      </c>
      <c r="AH399" s="1">
        <f t="shared" si="23"/>
        <v>1374</v>
      </c>
      <c r="AI399" s="1">
        <f>695+679</f>
        <v>1374</v>
      </c>
    </row>
    <row r="400" spans="1:44" x14ac:dyDescent="0.2">
      <c r="A400" s="18" t="s">
        <v>1147</v>
      </c>
      <c r="B400" s="18">
        <v>23108985</v>
      </c>
      <c r="C400" s="18" t="s">
        <v>7421</v>
      </c>
      <c r="D400" s="18"/>
      <c r="E400" s="19">
        <v>23</v>
      </c>
      <c r="F400" s="18"/>
      <c r="G400" s="18" t="s">
        <v>8096</v>
      </c>
      <c r="H400" s="18" t="s">
        <v>7232</v>
      </c>
      <c r="I400" s="24">
        <v>41212</v>
      </c>
      <c r="J400" s="18" t="s">
        <v>11</v>
      </c>
      <c r="K400" s="18" t="s">
        <v>595</v>
      </c>
      <c r="L400" s="18" t="s">
        <v>8097</v>
      </c>
      <c r="M400" s="18"/>
      <c r="N400" s="18" t="s">
        <v>10</v>
      </c>
      <c r="O400" s="18" t="s">
        <v>10</v>
      </c>
      <c r="P400" s="18" t="s">
        <v>8098</v>
      </c>
      <c r="Q400" s="18" t="s">
        <v>8099</v>
      </c>
      <c r="R400" s="18" t="s">
        <v>8100</v>
      </c>
      <c r="S400" s="1" t="s">
        <v>6244</v>
      </c>
      <c r="T400" s="1">
        <f t="shared" si="21"/>
        <v>3913</v>
      </c>
      <c r="U400" s="1">
        <f t="shared" si="22"/>
        <v>1627</v>
      </c>
      <c r="X400" s="1">
        <v>1627</v>
      </c>
      <c r="AH400" s="1">
        <f t="shared" si="23"/>
        <v>2286</v>
      </c>
      <c r="AI400" s="1">
        <v>2286</v>
      </c>
    </row>
    <row r="401" spans="1:44" x14ac:dyDescent="0.2">
      <c r="A401" s="18" t="s">
        <v>2628</v>
      </c>
      <c r="B401" s="18">
        <v>23118302</v>
      </c>
      <c r="C401" s="18" t="s">
        <v>7421</v>
      </c>
      <c r="D401" s="18"/>
      <c r="E401" s="19">
        <v>32</v>
      </c>
      <c r="F401" s="18"/>
      <c r="G401" s="18" t="s">
        <v>9416</v>
      </c>
      <c r="H401" s="18" t="s">
        <v>9417</v>
      </c>
      <c r="I401" s="24">
        <v>41214</v>
      </c>
      <c r="J401" s="18" t="s">
        <v>11</v>
      </c>
      <c r="K401" s="18" t="s">
        <v>551</v>
      </c>
      <c r="L401" s="18" t="s">
        <v>9418</v>
      </c>
      <c r="M401" s="18"/>
      <c r="N401" s="18" t="s">
        <v>10</v>
      </c>
      <c r="O401" s="18" t="s">
        <v>10</v>
      </c>
      <c r="P401" s="18" t="s">
        <v>9419</v>
      </c>
      <c r="Q401" s="18" t="s">
        <v>9420</v>
      </c>
      <c r="R401" s="18" t="s">
        <v>9421</v>
      </c>
      <c r="S401" s="1" t="s">
        <v>6243</v>
      </c>
      <c r="T401" s="1">
        <f t="shared" si="21"/>
        <v>20515</v>
      </c>
      <c r="U401" s="1">
        <f t="shared" si="22"/>
        <v>6851</v>
      </c>
      <c r="V401" s="1">
        <v>6851</v>
      </c>
      <c r="AH401" s="1">
        <f t="shared" si="23"/>
        <v>13664</v>
      </c>
      <c r="AI401" s="1">
        <v>13664</v>
      </c>
    </row>
    <row r="402" spans="1:44" x14ac:dyDescent="0.2">
      <c r="A402" s="18" t="s">
        <v>227</v>
      </c>
      <c r="B402" s="18">
        <v>23118916</v>
      </c>
      <c r="C402" s="18" t="s">
        <v>7421</v>
      </c>
      <c r="D402" s="18"/>
      <c r="E402" s="19">
        <v>5</v>
      </c>
      <c r="F402" s="18"/>
      <c r="G402" s="18" t="s">
        <v>9243</v>
      </c>
      <c r="H402" s="18" t="s">
        <v>8441</v>
      </c>
      <c r="I402" s="24">
        <v>41213</v>
      </c>
      <c r="J402" s="18" t="s">
        <v>11</v>
      </c>
      <c r="K402" s="18" t="s">
        <v>181</v>
      </c>
      <c r="L402" s="18" t="s">
        <v>9244</v>
      </c>
      <c r="M402" s="18"/>
      <c r="N402" s="18" t="s">
        <v>11</v>
      </c>
      <c r="O402" s="18" t="s">
        <v>11</v>
      </c>
      <c r="P402" s="18" t="s">
        <v>9245</v>
      </c>
      <c r="Q402" s="18" t="s">
        <v>9246</v>
      </c>
      <c r="R402" s="18" t="s">
        <v>9223</v>
      </c>
      <c r="S402" s="1" t="s">
        <v>6242</v>
      </c>
      <c r="T402" s="1">
        <f t="shared" si="21"/>
        <v>3495</v>
      </c>
      <c r="U402" s="1">
        <f t="shared" si="22"/>
        <v>1999</v>
      </c>
      <c r="X402" s="1">
        <v>1999</v>
      </c>
      <c r="AH402" s="1">
        <f t="shared" si="23"/>
        <v>1496</v>
      </c>
      <c r="AK402" s="1">
        <v>1496</v>
      </c>
    </row>
    <row r="403" spans="1:44" x14ac:dyDescent="0.2">
      <c r="A403" s="18" t="s">
        <v>9047</v>
      </c>
      <c r="B403" s="18">
        <v>23118974</v>
      </c>
      <c r="C403" s="18" t="s">
        <v>7421</v>
      </c>
      <c r="D403" s="18"/>
      <c r="E403" s="19">
        <v>103</v>
      </c>
      <c r="F403" s="18"/>
      <c r="G403" s="18" t="s">
        <v>280</v>
      </c>
      <c r="H403" s="18" t="s">
        <v>281</v>
      </c>
      <c r="I403" s="24">
        <v>41213</v>
      </c>
      <c r="J403" s="18" t="s">
        <v>11</v>
      </c>
      <c r="K403" s="18" t="s">
        <v>181</v>
      </c>
      <c r="L403" s="18" t="s">
        <v>9048</v>
      </c>
      <c r="M403" s="18"/>
      <c r="N403" s="18" t="s">
        <v>10</v>
      </c>
      <c r="O403" s="18" t="s">
        <v>10</v>
      </c>
      <c r="P403" s="18" t="s">
        <v>9049</v>
      </c>
      <c r="Q403" s="18" t="s">
        <v>9050</v>
      </c>
      <c r="R403" s="18" t="s">
        <v>9051</v>
      </c>
      <c r="S403" s="1" t="s">
        <v>6243</v>
      </c>
      <c r="T403" s="1">
        <f t="shared" si="21"/>
        <v>468</v>
      </c>
      <c r="U403" s="1">
        <f t="shared" si="22"/>
        <v>175</v>
      </c>
      <c r="V403" s="1">
        <v>175</v>
      </c>
      <c r="AH403" s="1">
        <f t="shared" si="23"/>
        <v>293</v>
      </c>
      <c r="AI403" s="1">
        <v>293</v>
      </c>
    </row>
    <row r="404" spans="1:44" x14ac:dyDescent="0.2">
      <c r="A404" s="18" t="s">
        <v>8581</v>
      </c>
      <c r="B404" s="18">
        <v>23128233</v>
      </c>
      <c r="C404" s="18" t="s">
        <v>7421</v>
      </c>
      <c r="D404" s="18"/>
      <c r="E404" s="19">
        <v>163</v>
      </c>
      <c r="F404" s="18"/>
      <c r="G404" s="18" t="s">
        <v>8582</v>
      </c>
      <c r="H404" s="18" t="s">
        <v>2547</v>
      </c>
      <c r="I404" s="24">
        <v>41214</v>
      </c>
      <c r="J404" s="18" t="s">
        <v>11</v>
      </c>
      <c r="K404" s="18" t="s">
        <v>58</v>
      </c>
      <c r="L404" s="18" t="s">
        <v>8583</v>
      </c>
      <c r="M404" s="18"/>
      <c r="N404" s="18" t="s">
        <v>10</v>
      </c>
      <c r="O404" s="18" t="s">
        <v>10</v>
      </c>
      <c r="P404" s="18" t="s">
        <v>8584</v>
      </c>
      <c r="Q404" s="18" t="s">
        <v>8585</v>
      </c>
      <c r="R404" s="18" t="s">
        <v>8586</v>
      </c>
      <c r="S404" s="1" t="s">
        <v>6243</v>
      </c>
      <c r="T404" s="1">
        <f t="shared" si="21"/>
        <v>77064</v>
      </c>
      <c r="U404" s="1">
        <f t="shared" si="22"/>
        <v>34366</v>
      </c>
      <c r="V404" s="1">
        <f>12924+21442</f>
        <v>34366</v>
      </c>
      <c r="AH404" s="1">
        <f t="shared" si="23"/>
        <v>42698</v>
      </c>
      <c r="AI404" s="1">
        <f>25683+17015</f>
        <v>42698</v>
      </c>
    </row>
    <row r="405" spans="1:44" x14ac:dyDescent="0.2">
      <c r="A405" s="18" t="s">
        <v>9880</v>
      </c>
      <c r="B405" s="18">
        <v>23133572</v>
      </c>
      <c r="C405" s="18" t="s">
        <v>7421</v>
      </c>
      <c r="D405" s="18"/>
      <c r="E405" s="19">
        <v>56</v>
      </c>
      <c r="F405" s="18"/>
      <c r="G405" s="18" t="s">
        <v>9881</v>
      </c>
      <c r="H405" s="18" t="s">
        <v>9882</v>
      </c>
      <c r="I405" s="24">
        <v>41207</v>
      </c>
      <c r="J405" s="18" t="s">
        <v>11</v>
      </c>
      <c r="K405" s="18" t="s">
        <v>181</v>
      </c>
      <c r="L405" s="18" t="s">
        <v>9883</v>
      </c>
      <c r="M405" s="18"/>
      <c r="N405" s="18" t="s">
        <v>10</v>
      </c>
      <c r="O405" s="18" t="s">
        <v>10</v>
      </c>
      <c r="P405" s="18" t="s">
        <v>9884</v>
      </c>
      <c r="Q405" s="18" t="s">
        <v>9885</v>
      </c>
      <c r="R405" s="18" t="s">
        <v>9886</v>
      </c>
      <c r="S405" s="1" t="s">
        <v>6244</v>
      </c>
      <c r="T405" s="1">
        <f t="shared" si="21"/>
        <v>3574</v>
      </c>
      <c r="U405" s="1">
        <f t="shared" si="22"/>
        <v>1491</v>
      </c>
      <c r="AD405" s="1">
        <f>1075+416</f>
        <v>1491</v>
      </c>
      <c r="AH405" s="1">
        <f t="shared" si="23"/>
        <v>2083</v>
      </c>
      <c r="AQ405" s="1">
        <v>2083</v>
      </c>
    </row>
    <row r="406" spans="1:44" x14ac:dyDescent="0.2">
      <c r="A406" s="18" t="s">
        <v>8331</v>
      </c>
      <c r="B406" s="18">
        <v>23135809</v>
      </c>
      <c r="C406" s="18" t="s">
        <v>7421</v>
      </c>
      <c r="D406" s="18">
        <v>1</v>
      </c>
      <c r="E406" s="19">
        <v>0</v>
      </c>
      <c r="F406" s="18"/>
      <c r="G406" s="18" t="s">
        <v>8332</v>
      </c>
      <c r="H406" s="18" t="s">
        <v>7219</v>
      </c>
      <c r="I406" s="24">
        <v>41220</v>
      </c>
      <c r="J406" s="18" t="s">
        <v>10</v>
      </c>
      <c r="K406" s="18" t="s">
        <v>2891</v>
      </c>
      <c r="L406" s="18" t="s">
        <v>8333</v>
      </c>
      <c r="M406" s="18"/>
      <c r="N406" s="18" t="s">
        <v>10</v>
      </c>
      <c r="O406" s="18" t="s">
        <v>10</v>
      </c>
      <c r="P406" s="18" t="s">
        <v>8334</v>
      </c>
      <c r="Q406" s="18" t="s">
        <v>33</v>
      </c>
      <c r="R406" s="18" t="s">
        <v>8335</v>
      </c>
      <c r="S406" s="1" t="s">
        <v>6248</v>
      </c>
      <c r="T406" s="1">
        <f t="shared" si="21"/>
        <v>5575</v>
      </c>
      <c r="U406" s="1">
        <f t="shared" si="22"/>
        <v>5575</v>
      </c>
      <c r="AE406" s="1">
        <v>5575</v>
      </c>
    </row>
    <row r="407" spans="1:44" x14ac:dyDescent="0.2">
      <c r="A407" s="18" t="s">
        <v>1635</v>
      </c>
      <c r="B407" s="18">
        <v>23137000</v>
      </c>
      <c r="C407" s="18" t="s">
        <v>7421</v>
      </c>
      <c r="D407" s="18"/>
      <c r="E407" s="19">
        <v>15</v>
      </c>
      <c r="F407" s="18"/>
      <c r="G407" s="18" t="s">
        <v>8269</v>
      </c>
      <c r="H407" s="18" t="s">
        <v>7379</v>
      </c>
      <c r="I407" s="24">
        <v>41222</v>
      </c>
      <c r="J407" s="18" t="s">
        <v>11</v>
      </c>
      <c r="K407" s="18" t="s">
        <v>8270</v>
      </c>
      <c r="L407" s="18" t="s">
        <v>8271</v>
      </c>
      <c r="M407" s="18"/>
      <c r="N407" s="18" t="s">
        <v>10</v>
      </c>
      <c r="O407" s="18" t="s">
        <v>10</v>
      </c>
      <c r="P407" s="18" t="s">
        <v>8272</v>
      </c>
      <c r="Q407" s="18" t="s">
        <v>33</v>
      </c>
      <c r="R407" s="18" t="s">
        <v>8273</v>
      </c>
      <c r="S407" s="1" t="s">
        <v>6242</v>
      </c>
      <c r="T407" s="1">
        <f t="shared" si="21"/>
        <v>758</v>
      </c>
      <c r="U407" s="1">
        <f t="shared" si="22"/>
        <v>758</v>
      </c>
      <c r="X407" s="1">
        <f>109+649</f>
        <v>758</v>
      </c>
    </row>
    <row r="408" spans="1:44" x14ac:dyDescent="0.2">
      <c r="A408" s="18" t="s">
        <v>8687</v>
      </c>
      <c r="B408" s="18">
        <v>23139255</v>
      </c>
      <c r="C408" s="18" t="s">
        <v>7421</v>
      </c>
      <c r="D408" s="18"/>
      <c r="E408" s="19">
        <v>10</v>
      </c>
      <c r="F408" s="18"/>
      <c r="G408" s="18" t="s">
        <v>6754</v>
      </c>
      <c r="H408" s="18" t="s">
        <v>7252</v>
      </c>
      <c r="I408" s="24">
        <v>41221</v>
      </c>
      <c r="J408" s="18" t="s">
        <v>11</v>
      </c>
      <c r="K408" s="18" t="s">
        <v>551</v>
      </c>
      <c r="L408" s="18" t="s">
        <v>8688</v>
      </c>
      <c r="M408" s="18"/>
      <c r="N408" s="18" t="s">
        <v>10</v>
      </c>
      <c r="O408" s="18" t="s">
        <v>10</v>
      </c>
      <c r="P408" s="18" t="s">
        <v>8689</v>
      </c>
      <c r="Q408" s="18" t="s">
        <v>33</v>
      </c>
      <c r="R408" s="18" t="s">
        <v>8690</v>
      </c>
      <c r="S408" s="1" t="s">
        <v>6440</v>
      </c>
      <c r="T408" s="1">
        <f t="shared" si="21"/>
        <v>13415</v>
      </c>
      <c r="U408" s="1">
        <f t="shared" si="22"/>
        <v>13415</v>
      </c>
      <c r="W408" s="1">
        <v>13415</v>
      </c>
    </row>
    <row r="409" spans="1:44" x14ac:dyDescent="0.2">
      <c r="A409" s="18" t="s">
        <v>10400</v>
      </c>
      <c r="B409" s="18">
        <v>23142968</v>
      </c>
      <c r="C409" s="18" t="s">
        <v>7421</v>
      </c>
      <c r="D409" s="18"/>
      <c r="E409" s="19">
        <v>8</v>
      </c>
      <c r="F409" s="18"/>
      <c r="G409" s="18" t="s">
        <v>74</v>
      </c>
      <c r="H409" s="18" t="s">
        <v>2545</v>
      </c>
      <c r="I409" s="24">
        <v>41683</v>
      </c>
      <c r="J409" s="18" t="s">
        <v>11</v>
      </c>
      <c r="K409" s="18" t="s">
        <v>1520</v>
      </c>
      <c r="L409" s="18" t="s">
        <v>10401</v>
      </c>
      <c r="M409" s="18"/>
      <c r="N409" s="18" t="s">
        <v>10</v>
      </c>
      <c r="O409" s="18" t="s">
        <v>10</v>
      </c>
      <c r="P409" s="18" t="s">
        <v>10402</v>
      </c>
      <c r="Q409" s="18" t="s">
        <v>10403</v>
      </c>
      <c r="R409" s="18" t="s">
        <v>10404</v>
      </c>
      <c r="S409" s="1" t="s">
        <v>6243</v>
      </c>
      <c r="T409" s="1">
        <f t="shared" si="21"/>
        <v>991</v>
      </c>
      <c r="U409" s="1">
        <f t="shared" si="22"/>
        <v>564</v>
      </c>
      <c r="V409" s="1">
        <f>188+376</f>
        <v>564</v>
      </c>
      <c r="AH409" s="1">
        <f>SUM(AI409:AT409)</f>
        <v>427</v>
      </c>
      <c r="AI409" s="1">
        <f>99+328</f>
        <v>427</v>
      </c>
    </row>
    <row r="410" spans="1:44" x14ac:dyDescent="0.2">
      <c r="A410" s="18" t="s">
        <v>10208</v>
      </c>
      <c r="B410" s="18">
        <v>23143594</v>
      </c>
      <c r="C410" s="18" t="s">
        <v>7421</v>
      </c>
      <c r="D410" s="18"/>
      <c r="E410" s="19">
        <v>36</v>
      </c>
      <c r="F410" s="18"/>
      <c r="G410" s="18" t="s">
        <v>136</v>
      </c>
      <c r="H410" s="18" t="s">
        <v>137</v>
      </c>
      <c r="I410" s="24">
        <v>41224</v>
      </c>
      <c r="J410" s="18" t="s">
        <v>10</v>
      </c>
      <c r="K410" s="18" t="s">
        <v>28</v>
      </c>
      <c r="L410" s="18" t="s">
        <v>10209</v>
      </c>
      <c r="M410" s="18"/>
      <c r="N410" s="18" t="s">
        <v>10</v>
      </c>
      <c r="O410" s="18" t="s">
        <v>10</v>
      </c>
      <c r="P410" s="18" t="s">
        <v>10210</v>
      </c>
      <c r="Q410" s="18" t="s">
        <v>33</v>
      </c>
      <c r="R410" s="18" t="s">
        <v>10211</v>
      </c>
      <c r="S410" s="1" t="s">
        <v>6243</v>
      </c>
      <c r="T410" s="1">
        <f t="shared" si="21"/>
        <v>33394</v>
      </c>
      <c r="U410" s="1">
        <f t="shared" si="22"/>
        <v>33394</v>
      </c>
      <c r="V410" s="1">
        <f>10588+22806</f>
        <v>33394</v>
      </c>
    </row>
    <row r="411" spans="1:44" x14ac:dyDescent="0.2">
      <c r="A411" s="18" t="s">
        <v>10364</v>
      </c>
      <c r="B411" s="18">
        <v>23143596</v>
      </c>
      <c r="C411" s="18" t="s">
        <v>7421</v>
      </c>
      <c r="D411" s="18"/>
      <c r="E411" s="19">
        <v>220</v>
      </c>
      <c r="F411" s="18"/>
      <c r="G411" s="18" t="s">
        <v>48</v>
      </c>
      <c r="H411" s="18" t="s">
        <v>7340</v>
      </c>
      <c r="I411" s="24">
        <v>41224</v>
      </c>
      <c r="J411" s="18" t="s">
        <v>10</v>
      </c>
      <c r="K411" s="18" t="s">
        <v>28</v>
      </c>
      <c r="L411" s="18" t="s">
        <v>10365</v>
      </c>
      <c r="M411" s="18"/>
      <c r="N411" s="18" t="s">
        <v>10</v>
      </c>
      <c r="O411" s="18" t="s">
        <v>10</v>
      </c>
      <c r="P411" s="18" t="s">
        <v>10366</v>
      </c>
      <c r="Q411" s="18" t="s">
        <v>10367</v>
      </c>
      <c r="R411" s="18" t="s">
        <v>10368</v>
      </c>
      <c r="S411" s="1" t="s">
        <v>6243</v>
      </c>
      <c r="T411" s="1">
        <f t="shared" si="21"/>
        <v>47580</v>
      </c>
      <c r="U411" s="1">
        <f t="shared" si="22"/>
        <v>27345</v>
      </c>
      <c r="V411" s="1">
        <f>11475+15870</f>
        <v>27345</v>
      </c>
      <c r="AH411" s="1">
        <f>SUM(AI411:AT411)</f>
        <v>20235</v>
      </c>
      <c r="AR411" s="1">
        <f>2363+17872</f>
        <v>20235</v>
      </c>
    </row>
    <row r="412" spans="1:44" x14ac:dyDescent="0.2">
      <c r="A412" s="18" t="s">
        <v>9450</v>
      </c>
      <c r="B412" s="18">
        <v>23143601</v>
      </c>
      <c r="C412" s="18" t="s">
        <v>7421</v>
      </c>
      <c r="D412" s="18"/>
      <c r="E412" s="19">
        <v>20</v>
      </c>
      <c r="F412" s="18"/>
      <c r="G412" s="18" t="s">
        <v>9451</v>
      </c>
      <c r="H412" s="18" t="s">
        <v>7092</v>
      </c>
      <c r="I412" s="24">
        <v>41224</v>
      </c>
      <c r="J412" s="18" t="s">
        <v>11</v>
      </c>
      <c r="K412" s="18" t="s">
        <v>28</v>
      </c>
      <c r="L412" s="18" t="s">
        <v>9452</v>
      </c>
      <c r="M412" s="18"/>
      <c r="N412" s="18" t="s">
        <v>11</v>
      </c>
      <c r="O412" s="18" t="s">
        <v>11</v>
      </c>
      <c r="P412" s="18" t="s">
        <v>9453</v>
      </c>
      <c r="Q412" s="18" t="s">
        <v>9454</v>
      </c>
      <c r="R412" s="18" t="s">
        <v>9455</v>
      </c>
      <c r="S412" s="1" t="s">
        <v>6242</v>
      </c>
      <c r="T412" s="1">
        <f t="shared" si="21"/>
        <v>14066</v>
      </c>
      <c r="U412" s="1">
        <f t="shared" si="22"/>
        <v>10054</v>
      </c>
      <c r="X412" s="1">
        <f>5510+4544</f>
        <v>10054</v>
      </c>
      <c r="AH412" s="1">
        <f>SUM(AI412:AT412)</f>
        <v>4012</v>
      </c>
      <c r="AK412" s="1">
        <f>1099+2913</f>
        <v>4012</v>
      </c>
    </row>
    <row r="413" spans="1:44" x14ac:dyDescent="0.2">
      <c r="A413" s="18" t="s">
        <v>7591</v>
      </c>
      <c r="B413" s="18">
        <v>23143602</v>
      </c>
      <c r="C413" s="18" t="s">
        <v>7421</v>
      </c>
      <c r="D413" s="18"/>
      <c r="E413" s="19">
        <v>21</v>
      </c>
      <c r="F413" s="18"/>
      <c r="G413" s="18" t="s">
        <v>7592</v>
      </c>
      <c r="H413" s="18" t="s">
        <v>7593</v>
      </c>
      <c r="I413" s="24">
        <v>41224</v>
      </c>
      <c r="J413" s="18" t="s">
        <v>11</v>
      </c>
      <c r="K413" s="18" t="s">
        <v>28</v>
      </c>
      <c r="L413" s="18" t="s">
        <v>7594</v>
      </c>
      <c r="M413" s="18"/>
      <c r="N413" s="18" t="s">
        <v>10</v>
      </c>
      <c r="O413" s="18" t="s">
        <v>10</v>
      </c>
      <c r="P413" s="18" t="s">
        <v>7595</v>
      </c>
      <c r="Q413" s="18" t="s">
        <v>7596</v>
      </c>
      <c r="R413" s="18" t="s">
        <v>7597</v>
      </c>
      <c r="S413" s="1" t="s">
        <v>6243</v>
      </c>
      <c r="T413" s="1">
        <f t="shared" si="21"/>
        <v>10263</v>
      </c>
      <c r="U413" s="1">
        <f t="shared" si="22"/>
        <v>5183</v>
      </c>
      <c r="V413" s="1">
        <f>676+4507</f>
        <v>5183</v>
      </c>
      <c r="AH413" s="1">
        <f>SUM(AI413:AT413)</f>
        <v>5080</v>
      </c>
      <c r="AI413" s="1">
        <f>910+4170</f>
        <v>5080</v>
      </c>
    </row>
    <row r="414" spans="1:44" x14ac:dyDescent="0.2">
      <c r="A414" s="18" t="s">
        <v>1435</v>
      </c>
      <c r="B414" s="18">
        <v>23144319</v>
      </c>
      <c r="C414" s="18" t="s">
        <v>7421</v>
      </c>
      <c r="D414" s="18"/>
      <c r="E414" s="19">
        <v>93</v>
      </c>
      <c r="F414" s="18"/>
      <c r="G414" s="18" t="s">
        <v>9456</v>
      </c>
      <c r="H414" s="18" t="s">
        <v>7090</v>
      </c>
      <c r="I414" s="24">
        <v>41241</v>
      </c>
      <c r="J414" s="18" t="s">
        <v>11</v>
      </c>
      <c r="K414" s="18" t="s">
        <v>1679</v>
      </c>
      <c r="L414" s="18" t="s">
        <v>9457</v>
      </c>
      <c r="M414" s="18"/>
      <c r="N414" s="18" t="s">
        <v>10</v>
      </c>
      <c r="O414" s="18" t="s">
        <v>10</v>
      </c>
      <c r="P414" s="18" t="s">
        <v>9458</v>
      </c>
      <c r="Q414" s="18" t="s">
        <v>33</v>
      </c>
      <c r="R414" s="18" t="s">
        <v>9459</v>
      </c>
      <c r="S414" s="1" t="s">
        <v>6242</v>
      </c>
      <c r="T414" s="1">
        <f t="shared" si="21"/>
        <v>348</v>
      </c>
      <c r="U414" s="1">
        <f t="shared" si="22"/>
        <v>348</v>
      </c>
      <c r="X414" s="1">
        <v>348</v>
      </c>
    </row>
    <row r="415" spans="1:44" x14ac:dyDescent="0.2">
      <c r="A415" s="18" t="s">
        <v>1135</v>
      </c>
      <c r="B415" s="18">
        <v>23144326</v>
      </c>
      <c r="C415" s="18" t="s">
        <v>7421</v>
      </c>
      <c r="D415" s="18"/>
      <c r="E415" s="19">
        <v>97</v>
      </c>
      <c r="F415" s="18"/>
      <c r="G415" s="18" t="s">
        <v>7992</v>
      </c>
      <c r="H415" s="18" t="s">
        <v>7993</v>
      </c>
      <c r="I415" s="24">
        <v>41222</v>
      </c>
      <c r="J415" s="18" t="s">
        <v>11</v>
      </c>
      <c r="K415" s="18" t="s">
        <v>1637</v>
      </c>
      <c r="L415" s="18" t="s">
        <v>7994</v>
      </c>
      <c r="M415" s="18"/>
      <c r="N415" s="18" t="s">
        <v>10</v>
      </c>
      <c r="O415" s="18" t="s">
        <v>10</v>
      </c>
      <c r="P415" s="18" t="s">
        <v>7995</v>
      </c>
      <c r="Q415" s="18" t="s">
        <v>33</v>
      </c>
      <c r="R415" s="18" t="s">
        <v>7996</v>
      </c>
      <c r="S415" s="1" t="s">
        <v>6243</v>
      </c>
      <c r="T415" s="1">
        <f t="shared" si="21"/>
        <v>1951</v>
      </c>
      <c r="U415" s="1">
        <f t="shared" si="22"/>
        <v>1951</v>
      </c>
      <c r="V415" s="1">
        <v>1951</v>
      </c>
    </row>
    <row r="416" spans="1:44" x14ac:dyDescent="0.2">
      <c r="A416" s="18" t="s">
        <v>9228</v>
      </c>
      <c r="B416" s="18">
        <v>23146381</v>
      </c>
      <c r="C416" s="18" t="s">
        <v>7421</v>
      </c>
      <c r="D416" s="18"/>
      <c r="E416" s="19">
        <v>338</v>
      </c>
      <c r="F416" s="18"/>
      <c r="G416" s="18" t="s">
        <v>6719</v>
      </c>
      <c r="H416" s="18" t="s">
        <v>8441</v>
      </c>
      <c r="I416" s="24">
        <v>41223</v>
      </c>
      <c r="J416" s="18" t="s">
        <v>11</v>
      </c>
      <c r="K416" s="18" t="s">
        <v>1169</v>
      </c>
      <c r="L416" s="18" t="s">
        <v>9229</v>
      </c>
      <c r="M416" s="18"/>
      <c r="N416" s="18" t="s">
        <v>10</v>
      </c>
      <c r="O416" s="18" t="s">
        <v>10</v>
      </c>
      <c r="P416" s="18" t="s">
        <v>9230</v>
      </c>
      <c r="Q416" s="18" t="s">
        <v>9231</v>
      </c>
      <c r="R416" s="18" t="s">
        <v>10944</v>
      </c>
      <c r="S416" s="1" t="s">
        <v>6244</v>
      </c>
      <c r="T416" s="1">
        <f t="shared" si="21"/>
        <v>10059</v>
      </c>
      <c r="U416" s="1">
        <f t="shared" si="22"/>
        <v>4292</v>
      </c>
      <c r="V416" s="1">
        <v>1564</v>
      </c>
      <c r="W416" s="1">
        <v>2469</v>
      </c>
      <c r="Z416" s="1">
        <v>259</v>
      </c>
      <c r="AH416" s="1">
        <f>SUM(AI416:AT416)</f>
        <v>5767</v>
      </c>
      <c r="AI416" s="1">
        <f>680+649</f>
        <v>1329</v>
      </c>
      <c r="AJ416" s="1">
        <v>2961</v>
      </c>
      <c r="AM416" s="1">
        <v>1477</v>
      </c>
    </row>
    <row r="417" spans="1:44" x14ac:dyDescent="0.2">
      <c r="A417" s="18" t="s">
        <v>8865</v>
      </c>
      <c r="B417" s="18">
        <v>23149075</v>
      </c>
      <c r="C417" s="18" t="s">
        <v>7421</v>
      </c>
      <c r="D417" s="18"/>
      <c r="E417" s="19">
        <v>15</v>
      </c>
      <c r="F417" s="18"/>
      <c r="G417" s="18" t="s">
        <v>8866</v>
      </c>
      <c r="H417" s="18" t="s">
        <v>8867</v>
      </c>
      <c r="I417" s="24">
        <v>41223</v>
      </c>
      <c r="J417" s="18" t="s">
        <v>11</v>
      </c>
      <c r="K417" s="18" t="s">
        <v>8868</v>
      </c>
      <c r="L417" s="18" t="s">
        <v>8869</v>
      </c>
      <c r="M417" s="18"/>
      <c r="N417" s="18" t="s">
        <v>10</v>
      </c>
      <c r="O417" s="18" t="s">
        <v>10</v>
      </c>
      <c r="P417" s="18" t="s">
        <v>8870</v>
      </c>
      <c r="Q417" s="18" t="s">
        <v>33</v>
      </c>
      <c r="R417" s="18" t="s">
        <v>8871</v>
      </c>
      <c r="S417" s="1" t="s">
        <v>6243</v>
      </c>
      <c r="T417" s="1">
        <f t="shared" si="21"/>
        <v>793</v>
      </c>
      <c r="U417" s="1">
        <f t="shared" si="22"/>
        <v>793</v>
      </c>
      <c r="V417" s="1">
        <v>793</v>
      </c>
    </row>
    <row r="418" spans="1:44" x14ac:dyDescent="0.2">
      <c r="A418" s="18" t="s">
        <v>1435</v>
      </c>
      <c r="B418" s="18">
        <v>23149448</v>
      </c>
      <c r="C418" s="18" t="s">
        <v>7421</v>
      </c>
      <c r="D418" s="18"/>
      <c r="E418" s="19">
        <v>36</v>
      </c>
      <c r="F418" s="18"/>
      <c r="G418" s="18" t="s">
        <v>9534</v>
      </c>
      <c r="H418" s="18" t="s">
        <v>635</v>
      </c>
      <c r="I418" s="24">
        <v>41226</v>
      </c>
      <c r="J418" s="18" t="s">
        <v>10</v>
      </c>
      <c r="K418" s="18" t="s">
        <v>7641</v>
      </c>
      <c r="L418" s="18" t="s">
        <v>9535</v>
      </c>
      <c r="M418" s="18"/>
      <c r="N418" s="18" t="s">
        <v>10</v>
      </c>
      <c r="O418" s="18" t="s">
        <v>10</v>
      </c>
      <c r="P418" s="18" t="s">
        <v>9536</v>
      </c>
      <c r="Q418" s="18" t="s">
        <v>33</v>
      </c>
      <c r="R418" s="18" t="s">
        <v>9537</v>
      </c>
      <c r="S418" s="1" t="s">
        <v>6243</v>
      </c>
      <c r="T418" s="1">
        <f t="shared" si="21"/>
        <v>8776</v>
      </c>
      <c r="U418" s="1">
        <f t="shared" si="22"/>
        <v>8776</v>
      </c>
      <c r="V418" s="1">
        <f>4346+4430</f>
        <v>8776</v>
      </c>
    </row>
    <row r="419" spans="1:44" x14ac:dyDescent="0.2">
      <c r="A419" s="18" t="s">
        <v>9928</v>
      </c>
      <c r="B419" s="18">
        <v>23149450</v>
      </c>
      <c r="C419" s="18" t="s">
        <v>7421</v>
      </c>
      <c r="D419" s="18"/>
      <c r="E419" s="19">
        <v>268</v>
      </c>
      <c r="F419" s="18"/>
      <c r="G419" s="18" t="s">
        <v>692</v>
      </c>
      <c r="H419" s="18" t="s">
        <v>179</v>
      </c>
      <c r="I419" s="24">
        <v>41226</v>
      </c>
      <c r="J419" s="18" t="s">
        <v>11</v>
      </c>
      <c r="K419" s="18" t="s">
        <v>7641</v>
      </c>
      <c r="L419" s="18" t="s">
        <v>9929</v>
      </c>
      <c r="M419" s="18"/>
      <c r="N419" s="18" t="s">
        <v>10</v>
      </c>
      <c r="O419" s="18" t="s">
        <v>10</v>
      </c>
      <c r="P419" s="18" t="s">
        <v>9930</v>
      </c>
      <c r="Q419" s="18" t="s">
        <v>9931</v>
      </c>
      <c r="R419" s="18" t="s">
        <v>9932</v>
      </c>
      <c r="S419" s="1" t="s">
        <v>6242</v>
      </c>
      <c r="T419" s="1">
        <f t="shared" si="21"/>
        <v>3625</v>
      </c>
      <c r="U419" s="1">
        <f t="shared" si="22"/>
        <v>2435</v>
      </c>
      <c r="X419" s="1">
        <f>718+1717</f>
        <v>2435</v>
      </c>
      <c r="AH419" s="1">
        <f>SUM(AI419:AT419)</f>
        <v>1190</v>
      </c>
      <c r="AK419" s="1">
        <f>329+861</f>
        <v>1190</v>
      </c>
    </row>
    <row r="420" spans="1:44" x14ac:dyDescent="0.2">
      <c r="A420" s="18" t="s">
        <v>8599</v>
      </c>
      <c r="B420" s="18">
        <v>23151486</v>
      </c>
      <c r="C420" s="18" t="s">
        <v>7421</v>
      </c>
      <c r="D420" s="18"/>
      <c r="E420" s="19">
        <v>35</v>
      </c>
      <c r="F420" s="18"/>
      <c r="G420" s="18" t="s">
        <v>8600</v>
      </c>
      <c r="H420" s="18" t="s">
        <v>8601</v>
      </c>
      <c r="I420" s="24">
        <v>41228</v>
      </c>
      <c r="J420" s="18" t="s">
        <v>10</v>
      </c>
      <c r="K420" s="18" t="s">
        <v>1850</v>
      </c>
      <c r="L420" s="18" t="s">
        <v>8602</v>
      </c>
      <c r="M420" s="18"/>
      <c r="N420" s="18" t="s">
        <v>10</v>
      </c>
      <c r="O420" s="18" t="s">
        <v>10</v>
      </c>
      <c r="P420" s="18" t="s">
        <v>8603</v>
      </c>
      <c r="Q420" s="18" t="s">
        <v>33</v>
      </c>
      <c r="R420" s="18" t="s">
        <v>8604</v>
      </c>
      <c r="S420" s="1" t="s">
        <v>6243</v>
      </c>
      <c r="T420" s="1">
        <f t="shared" si="21"/>
        <v>360</v>
      </c>
      <c r="U420" s="1">
        <f t="shared" si="22"/>
        <v>360</v>
      </c>
      <c r="V420" s="1">
        <v>360</v>
      </c>
    </row>
    <row r="421" spans="1:44" x14ac:dyDescent="0.2">
      <c r="A421" s="18" t="s">
        <v>1613</v>
      </c>
      <c r="B421" s="18">
        <v>23151678</v>
      </c>
      <c r="C421" s="18" t="s">
        <v>7421</v>
      </c>
      <c r="D421" s="18"/>
      <c r="E421" s="19">
        <v>5</v>
      </c>
      <c r="F421" s="18"/>
      <c r="G421" s="18" t="s">
        <v>10620</v>
      </c>
      <c r="H421" s="18" t="s">
        <v>10621</v>
      </c>
      <c r="I421" s="24">
        <v>41228</v>
      </c>
      <c r="J421" s="18" t="s">
        <v>11</v>
      </c>
      <c r="K421" s="18" t="s">
        <v>689</v>
      </c>
      <c r="L421" s="18" t="s">
        <v>10622</v>
      </c>
      <c r="M421" s="18"/>
      <c r="N421" s="18" t="s">
        <v>11</v>
      </c>
      <c r="O421" s="18" t="s">
        <v>11</v>
      </c>
      <c r="P421" s="18" t="s">
        <v>10623</v>
      </c>
      <c r="Q421" s="18" t="s">
        <v>33</v>
      </c>
      <c r="R421" s="18" t="s">
        <v>10624</v>
      </c>
      <c r="S421" s="1" t="s">
        <v>6242</v>
      </c>
      <c r="T421" s="1">
        <f t="shared" si="21"/>
        <v>182</v>
      </c>
      <c r="U421" s="1">
        <f t="shared" si="22"/>
        <v>182</v>
      </c>
      <c r="X421" s="1">
        <v>182</v>
      </c>
    </row>
    <row r="422" spans="1:44" x14ac:dyDescent="0.2">
      <c r="A422" s="18" t="s">
        <v>8264</v>
      </c>
      <c r="B422" s="18">
        <v>23152477</v>
      </c>
      <c r="C422" s="18" t="s">
        <v>7421</v>
      </c>
      <c r="D422" s="18"/>
      <c r="E422" s="19">
        <v>45</v>
      </c>
      <c r="F422" s="18"/>
      <c r="G422" s="18" t="s">
        <v>2446</v>
      </c>
      <c r="H422" s="18" t="s">
        <v>7244</v>
      </c>
      <c r="I422" s="24">
        <v>41227</v>
      </c>
      <c r="J422" s="18" t="s">
        <v>10</v>
      </c>
      <c r="K422" s="18" t="s">
        <v>551</v>
      </c>
      <c r="L422" s="18" t="s">
        <v>8265</v>
      </c>
      <c r="M422" s="18"/>
      <c r="N422" s="18" t="s">
        <v>10</v>
      </c>
      <c r="O422" s="18" t="s">
        <v>10</v>
      </c>
      <c r="P422" s="18" t="s">
        <v>8266</v>
      </c>
      <c r="Q422" s="18" t="s">
        <v>8267</v>
      </c>
      <c r="R422" s="18" t="s">
        <v>8268</v>
      </c>
      <c r="S422" s="1" t="s">
        <v>6243</v>
      </c>
      <c r="T422" s="1">
        <f t="shared" si="21"/>
        <v>15018</v>
      </c>
      <c r="U422" s="1">
        <f t="shared" si="22"/>
        <v>3430</v>
      </c>
      <c r="V422" s="1">
        <v>3430</v>
      </c>
      <c r="AH422" s="1">
        <f>SUM(AI422:AT422)</f>
        <v>11588</v>
      </c>
      <c r="AI422" s="1">
        <v>11588</v>
      </c>
    </row>
    <row r="423" spans="1:44" x14ac:dyDescent="0.2">
      <c r="A423" s="18" t="s">
        <v>10513</v>
      </c>
      <c r="B423" s="18">
        <v>23155414</v>
      </c>
      <c r="C423" s="18" t="s">
        <v>7421</v>
      </c>
      <c r="D423" s="18"/>
      <c r="E423" s="19">
        <v>7</v>
      </c>
      <c r="F423" s="18"/>
      <c r="G423" s="18" t="s">
        <v>10514</v>
      </c>
      <c r="H423" s="18" t="s">
        <v>268</v>
      </c>
      <c r="I423" s="24">
        <v>41227</v>
      </c>
      <c r="J423" s="18" t="s">
        <v>10</v>
      </c>
      <c r="K423" s="18" t="s">
        <v>181</v>
      </c>
      <c r="L423" s="18" t="s">
        <v>10515</v>
      </c>
      <c r="M423" s="18"/>
      <c r="N423" s="18" t="s">
        <v>10</v>
      </c>
      <c r="O423" s="18" t="s">
        <v>10</v>
      </c>
      <c r="P423" s="18" t="s">
        <v>10516</v>
      </c>
      <c r="Q423" s="18" t="s">
        <v>10517</v>
      </c>
      <c r="R423" s="18" t="s">
        <v>10518</v>
      </c>
      <c r="S423" s="1" t="s">
        <v>6244</v>
      </c>
      <c r="T423" s="1">
        <f t="shared" si="21"/>
        <v>6356</v>
      </c>
      <c r="U423" s="1">
        <f t="shared" si="22"/>
        <v>3551</v>
      </c>
      <c r="V423" s="1">
        <v>2904</v>
      </c>
      <c r="W423" s="1">
        <v>647</v>
      </c>
      <c r="AH423" s="1">
        <f>SUM(AI423:AT423)</f>
        <v>2805</v>
      </c>
      <c r="AI423" s="1">
        <v>1795</v>
      </c>
      <c r="AJ423" s="1">
        <v>1010</v>
      </c>
    </row>
    <row r="424" spans="1:44" x14ac:dyDescent="0.2">
      <c r="A424" s="18" t="s">
        <v>9809</v>
      </c>
      <c r="B424" s="18">
        <v>23160099</v>
      </c>
      <c r="C424" s="18" t="s">
        <v>7421</v>
      </c>
      <c r="D424" s="18"/>
      <c r="E424" s="19">
        <v>2</v>
      </c>
      <c r="F424" s="18"/>
      <c r="G424" s="18" t="s">
        <v>9810</v>
      </c>
      <c r="H424" s="18" t="s">
        <v>9811</v>
      </c>
      <c r="I424" s="24">
        <v>41231</v>
      </c>
      <c r="J424" s="18" t="s">
        <v>11</v>
      </c>
      <c r="K424" s="18" t="s">
        <v>28</v>
      </c>
      <c r="L424" s="18" t="s">
        <v>9812</v>
      </c>
      <c r="M424" s="18"/>
      <c r="N424" s="18" t="s">
        <v>10</v>
      </c>
      <c r="O424" s="18" t="s">
        <v>10</v>
      </c>
      <c r="P424" s="18" t="s">
        <v>9813</v>
      </c>
      <c r="Q424" s="18" t="s">
        <v>9814</v>
      </c>
      <c r="R424" s="18" t="s">
        <v>9815</v>
      </c>
      <c r="S424" s="1" t="s">
        <v>6243</v>
      </c>
      <c r="T424" s="1">
        <f t="shared" si="21"/>
        <v>850</v>
      </c>
      <c r="U424" s="1">
        <f t="shared" si="22"/>
        <v>130</v>
      </c>
      <c r="V424" s="1">
        <v>130</v>
      </c>
      <c r="AH424" s="1">
        <f>SUM(AI424:AT424)</f>
        <v>720</v>
      </c>
      <c r="AR424" s="1">
        <f>172+548</f>
        <v>720</v>
      </c>
    </row>
    <row r="425" spans="1:44" x14ac:dyDescent="0.2">
      <c r="A425" s="18" t="s">
        <v>1135</v>
      </c>
      <c r="B425" s="18">
        <v>23160181</v>
      </c>
      <c r="C425" s="18" t="s">
        <v>7421</v>
      </c>
      <c r="D425" s="18"/>
      <c r="E425" s="19">
        <v>13</v>
      </c>
      <c r="F425" s="18"/>
      <c r="G425" s="18" t="s">
        <v>9933</v>
      </c>
      <c r="H425" s="18" t="s">
        <v>7211</v>
      </c>
      <c r="I425" s="24">
        <v>41228</v>
      </c>
      <c r="J425" s="18" t="s">
        <v>10</v>
      </c>
      <c r="K425" s="18" t="s">
        <v>670</v>
      </c>
      <c r="L425" s="18" t="s">
        <v>9934</v>
      </c>
      <c r="M425" s="18"/>
      <c r="N425" s="18" t="s">
        <v>10</v>
      </c>
      <c r="O425" s="18" t="s">
        <v>10</v>
      </c>
      <c r="P425" s="18" t="s">
        <v>9935</v>
      </c>
      <c r="Q425" s="18" t="s">
        <v>33</v>
      </c>
      <c r="R425" s="18" t="s">
        <v>9936</v>
      </c>
      <c r="S425" s="1" t="s">
        <v>6243</v>
      </c>
      <c r="T425" s="1">
        <f t="shared" si="21"/>
        <v>1362</v>
      </c>
      <c r="U425" s="1">
        <f t="shared" si="22"/>
        <v>1362</v>
      </c>
      <c r="V425" s="1">
        <v>1362</v>
      </c>
    </row>
    <row r="426" spans="1:44" x14ac:dyDescent="0.2">
      <c r="A426" s="18" t="s">
        <v>2533</v>
      </c>
      <c r="B426" s="18">
        <v>23162014</v>
      </c>
      <c r="C426" s="18" t="s">
        <v>7421</v>
      </c>
      <c r="D426" s="18"/>
      <c r="E426" s="19">
        <v>6</v>
      </c>
      <c r="F426" s="18"/>
      <c r="G426" s="18" t="s">
        <v>10522</v>
      </c>
      <c r="H426" s="18" t="s">
        <v>10523</v>
      </c>
      <c r="I426" s="24">
        <v>41228</v>
      </c>
      <c r="J426" s="18" t="s">
        <v>10</v>
      </c>
      <c r="K426" s="18" t="s">
        <v>529</v>
      </c>
      <c r="L426" s="18" t="s">
        <v>10524</v>
      </c>
      <c r="M426" s="18"/>
      <c r="N426" s="18" t="s">
        <v>10</v>
      </c>
      <c r="O426" s="18" t="s">
        <v>10</v>
      </c>
      <c r="P426" s="18" t="s">
        <v>10525</v>
      </c>
      <c r="Q426" s="18" t="s">
        <v>33</v>
      </c>
      <c r="R426" s="18" t="s">
        <v>10526</v>
      </c>
      <c r="S426" s="1" t="s">
        <v>6244</v>
      </c>
      <c r="T426" s="1">
        <f t="shared" si="21"/>
        <v>3480</v>
      </c>
      <c r="U426" s="1">
        <f t="shared" si="22"/>
        <v>3480</v>
      </c>
      <c r="V426" s="1">
        <v>2952</v>
      </c>
      <c r="W426" s="1">
        <v>528</v>
      </c>
    </row>
    <row r="427" spans="1:44" x14ac:dyDescent="0.2">
      <c r="A427" s="18" t="s">
        <v>2579</v>
      </c>
      <c r="B427" s="18">
        <v>23164818</v>
      </c>
      <c r="C427" s="18" t="s">
        <v>7421</v>
      </c>
      <c r="D427" s="18"/>
      <c r="E427" s="19">
        <v>49</v>
      </c>
      <c r="F427" s="18"/>
      <c r="G427" s="18" t="s">
        <v>10422</v>
      </c>
      <c r="H427" s="18" t="s">
        <v>7146</v>
      </c>
      <c r="I427" s="24">
        <v>41233</v>
      </c>
      <c r="J427" s="18" t="s">
        <v>10</v>
      </c>
      <c r="K427" s="18" t="s">
        <v>71</v>
      </c>
      <c r="L427" s="18" t="s">
        <v>10423</v>
      </c>
      <c r="M427" s="18"/>
      <c r="N427" s="18" t="s">
        <v>10</v>
      </c>
      <c r="O427" s="18" t="s">
        <v>10</v>
      </c>
      <c r="P427" s="18" t="s">
        <v>10424</v>
      </c>
      <c r="Q427" s="18" t="s">
        <v>10425</v>
      </c>
      <c r="R427" s="18" t="s">
        <v>10960</v>
      </c>
      <c r="S427" s="1" t="s">
        <v>6243</v>
      </c>
      <c r="T427" s="1">
        <f t="shared" si="21"/>
        <v>114889</v>
      </c>
      <c r="U427" s="1">
        <f t="shared" si="22"/>
        <v>26982</v>
      </c>
      <c r="V427" s="1">
        <f>7946+19036</f>
        <v>26982</v>
      </c>
      <c r="AH427" s="1">
        <f>SUM(AI427:AT427)</f>
        <v>87907</v>
      </c>
      <c r="AI427" s="1">
        <f>18583+69324</f>
        <v>87907</v>
      </c>
    </row>
    <row r="428" spans="1:44" x14ac:dyDescent="0.2">
      <c r="A428" s="18" t="s">
        <v>1374</v>
      </c>
      <c r="B428" s="18">
        <v>23166209</v>
      </c>
      <c r="C428" s="18" t="s">
        <v>7421</v>
      </c>
      <c r="D428" s="18"/>
      <c r="E428" s="19">
        <v>86</v>
      </c>
      <c r="F428" s="18"/>
      <c r="G428" s="18" t="s">
        <v>6757</v>
      </c>
      <c r="H428" s="18" t="s">
        <v>7252</v>
      </c>
      <c r="I428" s="24">
        <v>41232</v>
      </c>
      <c r="J428" s="18" t="s">
        <v>11</v>
      </c>
      <c r="K428" s="18" t="s">
        <v>551</v>
      </c>
      <c r="L428" s="18" t="s">
        <v>8701</v>
      </c>
      <c r="M428" s="18"/>
      <c r="N428" s="18" t="s">
        <v>10</v>
      </c>
      <c r="O428" s="18" t="s">
        <v>10</v>
      </c>
      <c r="P428" s="18" t="s">
        <v>8702</v>
      </c>
      <c r="Q428" s="18" t="s">
        <v>33</v>
      </c>
      <c r="R428" s="18" t="s">
        <v>8703</v>
      </c>
      <c r="S428" s="1" t="s">
        <v>6440</v>
      </c>
      <c r="T428" s="1">
        <f t="shared" si="21"/>
        <v>13105</v>
      </c>
      <c r="U428" s="1">
        <f t="shared" si="22"/>
        <v>13105</v>
      </c>
      <c r="W428" s="1">
        <v>13105</v>
      </c>
    </row>
    <row r="429" spans="1:44" x14ac:dyDescent="0.2">
      <c r="A429" s="18" t="s">
        <v>3417</v>
      </c>
      <c r="B429" s="18">
        <v>23180272</v>
      </c>
      <c r="C429" s="18" t="s">
        <v>7421</v>
      </c>
      <c r="D429" s="18"/>
      <c r="E429" s="19">
        <v>383</v>
      </c>
      <c r="F429" s="18"/>
      <c r="G429" s="18" t="s">
        <v>7784</v>
      </c>
      <c r="H429" s="18" t="s">
        <v>7054</v>
      </c>
      <c r="I429" s="24">
        <v>41234</v>
      </c>
      <c r="J429" s="18" t="s">
        <v>11</v>
      </c>
      <c r="K429" s="18" t="s">
        <v>595</v>
      </c>
      <c r="L429" s="18" t="s">
        <v>7785</v>
      </c>
      <c r="M429" s="18"/>
      <c r="N429" s="18" t="s">
        <v>10</v>
      </c>
      <c r="O429" s="18" t="s">
        <v>10</v>
      </c>
      <c r="P429" s="18" t="s">
        <v>7786</v>
      </c>
      <c r="Q429" s="18" t="s">
        <v>7787</v>
      </c>
      <c r="R429" s="18" t="s">
        <v>7788</v>
      </c>
      <c r="S429" s="1" t="s">
        <v>6242</v>
      </c>
      <c r="T429" s="1">
        <f t="shared" si="21"/>
        <v>1940</v>
      </c>
      <c r="U429" s="1">
        <f t="shared" si="22"/>
        <v>802</v>
      </c>
      <c r="X429" s="1">
        <f>117+685</f>
        <v>802</v>
      </c>
      <c r="AH429" s="1">
        <f>SUM(AI429:AT429)</f>
        <v>1138</v>
      </c>
      <c r="AK429" s="1">
        <f>142+996</f>
        <v>1138</v>
      </c>
    </row>
    <row r="430" spans="1:44" x14ac:dyDescent="0.2">
      <c r="A430" s="18" t="s">
        <v>1515</v>
      </c>
      <c r="B430" s="18">
        <v>23180869</v>
      </c>
      <c r="C430" s="18" t="s">
        <v>7421</v>
      </c>
      <c r="D430" s="18"/>
      <c r="E430" s="19">
        <v>132</v>
      </c>
      <c r="F430" s="18"/>
      <c r="G430" s="18" t="s">
        <v>9916</v>
      </c>
      <c r="H430" s="18" t="s">
        <v>9917</v>
      </c>
      <c r="I430" s="24">
        <v>41237</v>
      </c>
      <c r="J430" s="18" t="s">
        <v>11</v>
      </c>
      <c r="K430" s="18" t="s">
        <v>2051</v>
      </c>
      <c r="L430" s="18" t="s">
        <v>9918</v>
      </c>
      <c r="M430" s="18"/>
      <c r="N430" s="18" t="s">
        <v>10</v>
      </c>
      <c r="O430" s="18" t="s">
        <v>10</v>
      </c>
      <c r="P430" s="18" t="s">
        <v>9919</v>
      </c>
      <c r="Q430" s="18" t="s">
        <v>9920</v>
      </c>
      <c r="R430" s="18" t="s">
        <v>9921</v>
      </c>
      <c r="S430" s="1" t="s">
        <v>6244</v>
      </c>
      <c r="T430" s="1">
        <f t="shared" si="21"/>
        <v>1005</v>
      </c>
      <c r="U430" s="1">
        <f t="shared" si="22"/>
        <v>642</v>
      </c>
      <c r="V430" s="1">
        <v>642</v>
      </c>
      <c r="AH430" s="1">
        <f>SUM(AI430:AT430)</f>
        <v>363</v>
      </c>
      <c r="AK430" s="1">
        <v>363</v>
      </c>
    </row>
    <row r="431" spans="1:44" x14ac:dyDescent="0.2">
      <c r="A431" s="18" t="s">
        <v>7822</v>
      </c>
      <c r="B431" s="18">
        <v>23181788</v>
      </c>
      <c r="C431" s="18" t="s">
        <v>7421</v>
      </c>
      <c r="D431" s="18"/>
      <c r="E431" s="19">
        <v>101</v>
      </c>
      <c r="F431" s="18"/>
      <c r="G431" s="18" t="s">
        <v>7823</v>
      </c>
      <c r="H431" s="18" t="s">
        <v>7052</v>
      </c>
      <c r="I431" s="24">
        <v>41258</v>
      </c>
      <c r="J431" s="18" t="s">
        <v>11</v>
      </c>
      <c r="K431" s="18" t="s">
        <v>711</v>
      </c>
      <c r="L431" s="18" t="s">
        <v>7824</v>
      </c>
      <c r="M431" s="18"/>
      <c r="N431" s="18" t="s">
        <v>10</v>
      </c>
      <c r="O431" s="18" t="s">
        <v>10</v>
      </c>
      <c r="P431" s="18" t="s">
        <v>7825</v>
      </c>
      <c r="Q431" s="18" t="s">
        <v>7826</v>
      </c>
      <c r="R431" s="18" t="s">
        <v>10925</v>
      </c>
      <c r="S431" s="1" t="s">
        <v>6244</v>
      </c>
      <c r="T431" s="1">
        <f t="shared" si="21"/>
        <v>12904</v>
      </c>
      <c r="U431" s="1">
        <f t="shared" si="22"/>
        <v>3855</v>
      </c>
      <c r="V431" s="1">
        <f>1238+2617</f>
        <v>3855</v>
      </c>
      <c r="AH431" s="1">
        <f>SUM(AI431:AT431)</f>
        <v>9049</v>
      </c>
      <c r="AI431" s="1">
        <f>1837+3803</f>
        <v>5640</v>
      </c>
      <c r="AM431" s="1">
        <f>603+2806</f>
        <v>3409</v>
      </c>
    </row>
    <row r="432" spans="1:44" x14ac:dyDescent="0.2">
      <c r="A432" s="18" t="s">
        <v>9063</v>
      </c>
      <c r="B432" s="18">
        <v>23183192</v>
      </c>
      <c r="C432" s="18" t="s">
        <v>7421</v>
      </c>
      <c r="D432" s="18"/>
      <c r="E432" s="19">
        <v>1</v>
      </c>
      <c r="F432" s="18"/>
      <c r="G432" s="18" t="s">
        <v>9064</v>
      </c>
      <c r="H432" s="18" t="s">
        <v>7314</v>
      </c>
      <c r="I432" s="24">
        <v>41237</v>
      </c>
      <c r="J432" s="18" t="s">
        <v>11</v>
      </c>
      <c r="K432" s="18" t="s">
        <v>748</v>
      </c>
      <c r="L432" s="18" t="s">
        <v>9065</v>
      </c>
      <c r="M432" s="18"/>
      <c r="N432" s="18" t="s">
        <v>10</v>
      </c>
      <c r="O432" s="18" t="s">
        <v>10</v>
      </c>
      <c r="P432" s="18" t="s">
        <v>9066</v>
      </c>
      <c r="Q432" s="18" t="s">
        <v>33</v>
      </c>
      <c r="R432" s="18" t="s">
        <v>9067</v>
      </c>
      <c r="S432" s="1" t="s">
        <v>6440</v>
      </c>
      <c r="T432" s="1">
        <f t="shared" si="21"/>
        <v>13372</v>
      </c>
      <c r="U432" s="1">
        <f t="shared" si="22"/>
        <v>13372</v>
      </c>
      <c r="W432" s="1">
        <v>13372</v>
      </c>
    </row>
    <row r="433" spans="1:43" x14ac:dyDescent="0.2">
      <c r="A433" s="18" t="s">
        <v>9857</v>
      </c>
      <c r="B433" s="18">
        <v>23183491</v>
      </c>
      <c r="C433" s="18" t="s">
        <v>7421</v>
      </c>
      <c r="D433" s="18"/>
      <c r="E433" s="19">
        <v>25</v>
      </c>
      <c r="F433" s="18"/>
      <c r="G433" s="18" t="s">
        <v>9858</v>
      </c>
      <c r="H433" s="18" t="s">
        <v>9859</v>
      </c>
      <c r="I433" s="24">
        <v>41240</v>
      </c>
      <c r="J433" s="18" t="s">
        <v>11</v>
      </c>
      <c r="K433" s="18" t="s">
        <v>71</v>
      </c>
      <c r="L433" s="18" t="s">
        <v>9860</v>
      </c>
      <c r="M433" s="18"/>
      <c r="N433" s="18" t="s">
        <v>10</v>
      </c>
      <c r="O433" s="18" t="s">
        <v>10</v>
      </c>
      <c r="P433" s="18" t="s">
        <v>9861</v>
      </c>
      <c r="Q433" s="18" t="s">
        <v>9862</v>
      </c>
      <c r="R433" s="18" t="s">
        <v>9863</v>
      </c>
      <c r="S433" s="1" t="s">
        <v>6242</v>
      </c>
      <c r="T433" s="1">
        <f t="shared" si="21"/>
        <v>353</v>
      </c>
      <c r="U433" s="1">
        <f t="shared" si="22"/>
        <v>118</v>
      </c>
      <c r="X433" s="1">
        <v>118</v>
      </c>
      <c r="AH433" s="1">
        <f>SUM(AI433:AT433)</f>
        <v>235</v>
      </c>
      <c r="AK433" s="1">
        <v>235</v>
      </c>
    </row>
    <row r="434" spans="1:43" x14ac:dyDescent="0.2">
      <c r="A434" s="18" t="s">
        <v>10248</v>
      </c>
      <c r="B434" s="18">
        <v>23184150</v>
      </c>
      <c r="C434" s="18" t="s">
        <v>7421</v>
      </c>
      <c r="D434" s="18"/>
      <c r="E434" s="19">
        <v>24</v>
      </c>
      <c r="F434" s="18"/>
      <c r="G434" s="18" t="s">
        <v>10249</v>
      </c>
      <c r="H434" s="18" t="s">
        <v>2088</v>
      </c>
      <c r="I434" s="24">
        <v>41238</v>
      </c>
      <c r="J434" s="18" t="s">
        <v>11</v>
      </c>
      <c r="K434" s="18" t="s">
        <v>103</v>
      </c>
      <c r="L434" s="18" t="s">
        <v>10250</v>
      </c>
      <c r="M434" s="18"/>
      <c r="N434" s="18" t="s">
        <v>10</v>
      </c>
      <c r="O434" s="18" t="s">
        <v>10</v>
      </c>
      <c r="P434" s="18" t="s">
        <v>10251</v>
      </c>
      <c r="Q434" s="18" t="s">
        <v>10252</v>
      </c>
      <c r="R434" s="18" t="s">
        <v>10253</v>
      </c>
      <c r="S434" s="1" t="s">
        <v>6243</v>
      </c>
      <c r="T434" s="1">
        <f t="shared" si="21"/>
        <v>23306</v>
      </c>
      <c r="U434" s="1">
        <f t="shared" si="22"/>
        <v>10781</v>
      </c>
      <c r="V434" s="1">
        <f>2215+8566</f>
        <v>10781</v>
      </c>
      <c r="AH434" s="1">
        <f>SUM(AI434:AT434)</f>
        <v>12525</v>
      </c>
      <c r="AI434" s="1">
        <f>3739+8786</f>
        <v>12525</v>
      </c>
    </row>
    <row r="435" spans="1:43" x14ac:dyDescent="0.2">
      <c r="A435" s="18" t="s">
        <v>7430</v>
      </c>
      <c r="B435" s="18">
        <v>23188048</v>
      </c>
      <c r="C435" s="18" t="s">
        <v>7421</v>
      </c>
      <c r="D435" s="18"/>
      <c r="E435" s="19">
        <v>34</v>
      </c>
      <c r="F435" s="18"/>
      <c r="G435" s="18" t="s">
        <v>7431</v>
      </c>
      <c r="H435" s="18" t="s">
        <v>7198</v>
      </c>
      <c r="I435" s="24">
        <v>41241</v>
      </c>
      <c r="J435" s="18" t="s">
        <v>10</v>
      </c>
      <c r="K435" s="18" t="s">
        <v>592</v>
      </c>
      <c r="L435" s="18" t="s">
        <v>7432</v>
      </c>
      <c r="M435" s="18"/>
      <c r="N435" s="18" t="s">
        <v>11</v>
      </c>
      <c r="O435" s="18" t="s">
        <v>11</v>
      </c>
      <c r="P435" s="18" t="s">
        <v>10916</v>
      </c>
      <c r="Q435" s="18" t="s">
        <v>33</v>
      </c>
      <c r="R435" s="18" t="s">
        <v>7433</v>
      </c>
      <c r="S435" s="1" t="s">
        <v>6243</v>
      </c>
      <c r="T435" s="1">
        <v>2544</v>
      </c>
      <c r="U435" s="1">
        <v>2544</v>
      </c>
      <c r="V435" s="1">
        <v>2544</v>
      </c>
    </row>
    <row r="436" spans="1:43" x14ac:dyDescent="0.2">
      <c r="A436" s="18" t="s">
        <v>8667</v>
      </c>
      <c r="B436" s="18">
        <v>23190410</v>
      </c>
      <c r="C436" s="18" t="s">
        <v>7421</v>
      </c>
      <c r="D436" s="18"/>
      <c r="E436" s="19">
        <v>12</v>
      </c>
      <c r="F436" s="18"/>
      <c r="G436" s="18" t="s">
        <v>1107</v>
      </c>
      <c r="H436" s="18" t="s">
        <v>1108</v>
      </c>
      <c r="I436" s="24">
        <v>41250</v>
      </c>
      <c r="J436" s="18" t="s">
        <v>10</v>
      </c>
      <c r="K436" s="18" t="s">
        <v>302</v>
      </c>
      <c r="L436" s="18" t="s">
        <v>8668</v>
      </c>
      <c r="M436" s="18"/>
      <c r="N436" s="18" t="s">
        <v>10</v>
      </c>
      <c r="O436" s="18" t="s">
        <v>10</v>
      </c>
      <c r="P436" s="18" t="s">
        <v>8669</v>
      </c>
      <c r="Q436" s="18" t="s">
        <v>33</v>
      </c>
      <c r="R436" s="18" t="s">
        <v>8670</v>
      </c>
      <c r="S436" s="1" t="s">
        <v>6243</v>
      </c>
      <c r="T436" s="1">
        <f t="shared" ref="T436:T499" si="24">SUM(U436,AH436)</f>
        <v>718</v>
      </c>
      <c r="U436" s="1">
        <f t="shared" ref="U436:U499" si="25">SUM(V436:AG436)</f>
        <v>718</v>
      </c>
      <c r="V436" s="1">
        <v>718</v>
      </c>
    </row>
    <row r="437" spans="1:43" x14ac:dyDescent="0.2">
      <c r="A437" s="18" t="s">
        <v>9822</v>
      </c>
      <c r="B437" s="18">
        <v>23192594</v>
      </c>
      <c r="C437" s="18" t="s">
        <v>7421</v>
      </c>
      <c r="D437" s="18"/>
      <c r="E437" s="19">
        <v>53</v>
      </c>
      <c r="F437" s="18"/>
      <c r="G437" s="18" t="s">
        <v>9823</v>
      </c>
      <c r="H437" s="18" t="s">
        <v>7303</v>
      </c>
      <c r="I437" s="24">
        <v>41242</v>
      </c>
      <c r="J437" s="18" t="s">
        <v>11</v>
      </c>
      <c r="K437" s="18" t="s">
        <v>595</v>
      </c>
      <c r="L437" s="18" t="s">
        <v>9824</v>
      </c>
      <c r="M437" s="18"/>
      <c r="N437" s="18" t="s">
        <v>11</v>
      </c>
      <c r="O437" s="18" t="s">
        <v>11</v>
      </c>
      <c r="P437" s="18" t="s">
        <v>9825</v>
      </c>
      <c r="Q437" s="18" t="s">
        <v>33</v>
      </c>
      <c r="R437" s="18" t="s">
        <v>9826</v>
      </c>
      <c r="S437" s="1" t="s">
        <v>6244</v>
      </c>
      <c r="T437" s="1">
        <f t="shared" si="24"/>
        <v>11687</v>
      </c>
      <c r="U437" s="1">
        <f t="shared" si="25"/>
        <v>11687</v>
      </c>
      <c r="W437" s="1">
        <v>8203</v>
      </c>
      <c r="Z437" s="1">
        <v>3484</v>
      </c>
    </row>
    <row r="438" spans="1:43" x14ac:dyDescent="0.2">
      <c r="A438" s="18" t="s">
        <v>7963</v>
      </c>
      <c r="B438" s="18">
        <v>23202124</v>
      </c>
      <c r="C438" s="18" t="s">
        <v>7421</v>
      </c>
      <c r="D438" s="18"/>
      <c r="E438" s="19">
        <v>153321</v>
      </c>
      <c r="F438" s="18"/>
      <c r="G438" s="18" t="s">
        <v>7964</v>
      </c>
      <c r="H438" s="18" t="s">
        <v>7965</v>
      </c>
      <c r="I438" s="24">
        <v>41245</v>
      </c>
      <c r="J438" s="18" t="s">
        <v>11</v>
      </c>
      <c r="K438" s="18" t="s">
        <v>28</v>
      </c>
      <c r="L438" s="18" t="s">
        <v>7966</v>
      </c>
      <c r="M438" s="18"/>
      <c r="N438" s="18" t="s">
        <v>10</v>
      </c>
      <c r="O438" s="18" t="s">
        <v>10</v>
      </c>
      <c r="P438" s="18" t="s">
        <v>7967</v>
      </c>
      <c r="Q438" s="18" t="s">
        <v>7968</v>
      </c>
      <c r="R438" s="18" t="s">
        <v>7969</v>
      </c>
      <c r="S438" s="1" t="s">
        <v>6243</v>
      </c>
      <c r="T438" s="1">
        <f t="shared" si="24"/>
        <v>69355</v>
      </c>
      <c r="U438" s="1">
        <f t="shared" si="25"/>
        <v>26836</v>
      </c>
      <c r="V438" s="1">
        <v>26836</v>
      </c>
      <c r="AH438" s="1">
        <f>SUM(AI438:AT438)</f>
        <v>42519</v>
      </c>
      <c r="AI438" s="1">
        <v>42519</v>
      </c>
    </row>
    <row r="439" spans="1:43" x14ac:dyDescent="0.2">
      <c r="A439" s="18" t="s">
        <v>8516</v>
      </c>
      <c r="B439" s="18">
        <v>23202125</v>
      </c>
      <c r="C439" s="18" t="s">
        <v>7421</v>
      </c>
      <c r="D439" s="18"/>
      <c r="E439" s="19">
        <v>20123</v>
      </c>
      <c r="F439" s="18"/>
      <c r="G439" s="18" t="s">
        <v>165</v>
      </c>
      <c r="H439" s="18" t="s">
        <v>7192</v>
      </c>
      <c r="I439" s="24">
        <v>41245</v>
      </c>
      <c r="J439" s="18" t="s">
        <v>10</v>
      </c>
      <c r="K439" s="18" t="s">
        <v>28</v>
      </c>
      <c r="L439" s="18" t="s">
        <v>8517</v>
      </c>
      <c r="M439" s="18"/>
      <c r="N439" s="18" t="s">
        <v>10</v>
      </c>
      <c r="O439" s="18" t="s">
        <v>10</v>
      </c>
      <c r="P439" s="18" t="s">
        <v>8518</v>
      </c>
      <c r="Q439" s="18" t="s">
        <v>8519</v>
      </c>
      <c r="R439" s="18" t="s">
        <v>8520</v>
      </c>
      <c r="S439" s="1" t="s">
        <v>6244</v>
      </c>
      <c r="T439" s="1">
        <f t="shared" si="24"/>
        <v>210040</v>
      </c>
      <c r="U439" s="1">
        <f t="shared" si="25"/>
        <v>194427</v>
      </c>
      <c r="AD439" s="1">
        <f>63746+130681</f>
        <v>194427</v>
      </c>
      <c r="AH439" s="1">
        <f>SUM(AI439:AT439)</f>
        <v>15613</v>
      </c>
      <c r="AQ439" s="1">
        <f>3630+11983</f>
        <v>15613</v>
      </c>
    </row>
    <row r="440" spans="1:43" x14ac:dyDescent="0.2">
      <c r="A440" s="18" t="s">
        <v>2548</v>
      </c>
      <c r="B440" s="18">
        <v>23204130</v>
      </c>
      <c r="C440" s="18" t="s">
        <v>7421</v>
      </c>
      <c r="D440" s="18"/>
      <c r="E440" s="19">
        <v>48</v>
      </c>
      <c r="F440" s="18"/>
      <c r="G440" s="18" t="s">
        <v>9907</v>
      </c>
      <c r="H440" s="18" t="s">
        <v>9913</v>
      </c>
      <c r="I440" s="24">
        <v>41243</v>
      </c>
      <c r="J440" s="18" t="s">
        <v>11</v>
      </c>
      <c r="K440" s="18" t="s">
        <v>2053</v>
      </c>
      <c r="L440" s="18" t="s">
        <v>9914</v>
      </c>
      <c r="M440" s="18"/>
      <c r="N440" s="18" t="s">
        <v>10</v>
      </c>
      <c r="O440" s="18" t="s">
        <v>10</v>
      </c>
      <c r="P440" s="18" t="s">
        <v>9915</v>
      </c>
      <c r="Q440" s="18" t="s">
        <v>33</v>
      </c>
      <c r="R440" s="18" t="s">
        <v>10954</v>
      </c>
      <c r="S440" s="1" t="s">
        <v>6244</v>
      </c>
      <c r="T440" s="1">
        <f t="shared" si="24"/>
        <v>247</v>
      </c>
      <c r="U440" s="1">
        <f t="shared" si="25"/>
        <v>247</v>
      </c>
      <c r="V440" s="1">
        <v>77</v>
      </c>
      <c r="W440" s="1">
        <f>83+87</f>
        <v>170</v>
      </c>
    </row>
    <row r="441" spans="1:43" x14ac:dyDescent="0.2">
      <c r="A441" s="18" t="s">
        <v>10022</v>
      </c>
      <c r="B441" s="18">
        <v>23205182</v>
      </c>
      <c r="C441" s="18" t="s">
        <v>7421</v>
      </c>
      <c r="D441" s="18"/>
      <c r="E441" s="19">
        <v>23</v>
      </c>
      <c r="F441" s="18"/>
      <c r="G441" s="18" t="s">
        <v>10023</v>
      </c>
      <c r="H441" s="18" t="s">
        <v>10024</v>
      </c>
      <c r="I441" s="24">
        <v>41228</v>
      </c>
      <c r="J441" s="18" t="s">
        <v>10</v>
      </c>
      <c r="K441" s="18" t="s">
        <v>10025</v>
      </c>
      <c r="L441" s="18" t="s">
        <v>10026</v>
      </c>
      <c r="M441" s="18"/>
      <c r="N441" s="18" t="s">
        <v>11</v>
      </c>
      <c r="O441" s="18" t="s">
        <v>11</v>
      </c>
      <c r="P441" s="18" t="s">
        <v>10027</v>
      </c>
      <c r="Q441" s="18" t="s">
        <v>33</v>
      </c>
      <c r="R441" s="18" t="s">
        <v>10028</v>
      </c>
      <c r="S441" s="1" t="s">
        <v>6270</v>
      </c>
      <c r="T441" s="1">
        <f t="shared" si="24"/>
        <v>511</v>
      </c>
      <c r="U441" s="1">
        <f t="shared" si="25"/>
        <v>511</v>
      </c>
      <c r="Z441" s="1">
        <f>253+258</f>
        <v>511</v>
      </c>
    </row>
    <row r="442" spans="1:43" x14ac:dyDescent="0.2">
      <c r="A442" s="18" t="s">
        <v>2620</v>
      </c>
      <c r="B442" s="18">
        <v>23207651</v>
      </c>
      <c r="C442" s="18" t="s">
        <v>7421</v>
      </c>
      <c r="D442" s="18"/>
      <c r="E442" s="19">
        <v>71</v>
      </c>
      <c r="F442" s="18"/>
      <c r="G442" s="18" t="s">
        <v>8395</v>
      </c>
      <c r="H442" s="18" t="s">
        <v>236</v>
      </c>
      <c r="I442" s="24">
        <v>41247</v>
      </c>
      <c r="J442" s="18" t="s">
        <v>11</v>
      </c>
      <c r="K442" s="18" t="s">
        <v>71</v>
      </c>
      <c r="L442" s="18" t="s">
        <v>8396</v>
      </c>
      <c r="M442" s="18"/>
      <c r="N442" s="18" t="s">
        <v>10</v>
      </c>
      <c r="O442" s="18" t="s">
        <v>10</v>
      </c>
      <c r="P442" s="18" t="s">
        <v>8397</v>
      </c>
      <c r="Q442" s="18" t="s">
        <v>8398</v>
      </c>
      <c r="R442" s="18" t="s">
        <v>8399</v>
      </c>
      <c r="S442" s="1" t="s">
        <v>6243</v>
      </c>
      <c r="T442" s="1">
        <f t="shared" si="24"/>
        <v>4647</v>
      </c>
      <c r="U442" s="1">
        <f t="shared" si="25"/>
        <v>3280</v>
      </c>
      <c r="V442" s="1">
        <v>3280</v>
      </c>
      <c r="AH442" s="1">
        <f>SUM(AI442:AT442)</f>
        <v>1367</v>
      </c>
      <c r="AI442" s="1">
        <v>1367</v>
      </c>
    </row>
    <row r="443" spans="1:43" x14ac:dyDescent="0.2">
      <c r="A443" s="18" t="s">
        <v>7656</v>
      </c>
      <c r="B443" s="18">
        <v>23207799</v>
      </c>
      <c r="C443" s="18" t="s">
        <v>7421</v>
      </c>
      <c r="D443" s="18"/>
      <c r="E443" s="19">
        <v>91</v>
      </c>
      <c r="F443" s="18"/>
      <c r="G443" s="18" t="s">
        <v>3133</v>
      </c>
      <c r="H443" s="18" t="s">
        <v>7319</v>
      </c>
      <c r="I443" s="24">
        <v>41243</v>
      </c>
      <c r="J443" s="18" t="s">
        <v>11</v>
      </c>
      <c r="K443" s="18" t="s">
        <v>8448</v>
      </c>
      <c r="L443" s="18" t="s">
        <v>10527</v>
      </c>
      <c r="M443" s="18"/>
      <c r="N443" s="18" t="s">
        <v>10</v>
      </c>
      <c r="O443" s="18" t="s">
        <v>10</v>
      </c>
      <c r="P443" s="18" t="s">
        <v>8099</v>
      </c>
      <c r="Q443" s="18" t="s">
        <v>10528</v>
      </c>
      <c r="R443" s="18" t="s">
        <v>10529</v>
      </c>
      <c r="S443" s="1" t="s">
        <v>6244</v>
      </c>
      <c r="T443" s="1">
        <f t="shared" si="24"/>
        <v>6416</v>
      </c>
      <c r="U443" s="1">
        <f t="shared" si="25"/>
        <v>2286</v>
      </c>
      <c r="V443" s="1">
        <v>2286</v>
      </c>
      <c r="AH443" s="1">
        <f>SUM(AI443:AT443)</f>
        <v>4130</v>
      </c>
      <c r="AI443" s="1">
        <v>2503</v>
      </c>
      <c r="AK443" s="1">
        <v>1627</v>
      </c>
    </row>
    <row r="444" spans="1:43" x14ac:dyDescent="0.2">
      <c r="A444" s="18" t="s">
        <v>10765</v>
      </c>
      <c r="B444" s="18">
        <v>23209189</v>
      </c>
      <c r="C444" s="18" t="s">
        <v>7421</v>
      </c>
      <c r="D444" s="18"/>
      <c r="E444" s="19">
        <v>124</v>
      </c>
      <c r="F444" s="18"/>
      <c r="G444" s="18" t="s">
        <v>61</v>
      </c>
      <c r="H444" s="18" t="s">
        <v>7396</v>
      </c>
      <c r="I444" s="24">
        <v>41246</v>
      </c>
      <c r="J444" s="18" t="s">
        <v>11</v>
      </c>
      <c r="K444" s="18" t="s">
        <v>90</v>
      </c>
      <c r="L444" s="18" t="s">
        <v>10766</v>
      </c>
      <c r="M444" s="18"/>
      <c r="N444" s="18" t="s">
        <v>10</v>
      </c>
      <c r="O444" s="18" t="s">
        <v>10</v>
      </c>
      <c r="P444" s="18" t="s">
        <v>10767</v>
      </c>
      <c r="Q444" s="18" t="s">
        <v>10768</v>
      </c>
      <c r="R444" s="18" t="s">
        <v>10769</v>
      </c>
      <c r="S444" s="1" t="s">
        <v>6244</v>
      </c>
      <c r="T444" s="1">
        <f t="shared" si="24"/>
        <v>33474</v>
      </c>
      <c r="U444" s="1">
        <f t="shared" si="25"/>
        <v>2128</v>
      </c>
      <c r="AD444" s="1">
        <f>1101+1027</f>
        <v>2128</v>
      </c>
      <c r="AH444" s="1">
        <f>SUM(AI444:AT444)</f>
        <v>31346</v>
      </c>
      <c r="AI444" s="1">
        <f>11285+11285</f>
        <v>22570</v>
      </c>
      <c r="AQ444" s="1">
        <f>3607+1184+2924+1061</f>
        <v>8776</v>
      </c>
    </row>
    <row r="445" spans="1:43" x14ac:dyDescent="0.2">
      <c r="A445" s="18" t="s">
        <v>1765</v>
      </c>
      <c r="B445" s="18">
        <v>23209447</v>
      </c>
      <c r="C445" s="18" t="s">
        <v>7421</v>
      </c>
      <c r="D445" s="18"/>
      <c r="E445" s="19">
        <v>33</v>
      </c>
      <c r="F445" s="18"/>
      <c r="G445" s="18" t="s">
        <v>916</v>
      </c>
      <c r="H445" s="18" t="s">
        <v>7102</v>
      </c>
      <c r="I445" s="24">
        <v>41242</v>
      </c>
      <c r="J445" s="18" t="s">
        <v>11</v>
      </c>
      <c r="K445" s="18" t="s">
        <v>65</v>
      </c>
      <c r="L445" s="18" t="s">
        <v>9712</v>
      </c>
      <c r="M445" s="18"/>
      <c r="N445" s="18" t="s">
        <v>10</v>
      </c>
      <c r="O445" s="18" t="s">
        <v>10</v>
      </c>
      <c r="P445" s="18" t="s">
        <v>9713</v>
      </c>
      <c r="Q445" s="18" t="s">
        <v>9714</v>
      </c>
      <c r="R445" s="18" t="s">
        <v>9715</v>
      </c>
      <c r="S445" s="1" t="s">
        <v>6242</v>
      </c>
      <c r="T445" s="1">
        <f t="shared" si="24"/>
        <v>5040</v>
      </c>
      <c r="U445" s="1">
        <f t="shared" si="25"/>
        <v>4055</v>
      </c>
      <c r="X445" s="1">
        <f>1405+2650</f>
        <v>4055</v>
      </c>
      <c r="AH445" s="1">
        <f>SUM(AI445:AT445)</f>
        <v>985</v>
      </c>
      <c r="AK445" s="1">
        <f>356+629</f>
        <v>985</v>
      </c>
    </row>
    <row r="446" spans="1:43" x14ac:dyDescent="0.2">
      <c r="A446" s="18" t="s">
        <v>10435</v>
      </c>
      <c r="B446" s="18">
        <v>23212062</v>
      </c>
      <c r="C446" s="18" t="s">
        <v>7421</v>
      </c>
      <c r="D446" s="18"/>
      <c r="E446" s="19">
        <v>19</v>
      </c>
      <c r="F446" s="18"/>
      <c r="G446" s="18" t="s">
        <v>10436</v>
      </c>
      <c r="H446" s="18" t="s">
        <v>2545</v>
      </c>
      <c r="I446" s="24">
        <v>41244</v>
      </c>
      <c r="J446" s="18" t="s">
        <v>11</v>
      </c>
      <c r="K446" s="18" t="s">
        <v>879</v>
      </c>
      <c r="L446" s="18" t="s">
        <v>10437</v>
      </c>
      <c r="M446" s="18"/>
      <c r="N446" s="18" t="s">
        <v>10</v>
      </c>
      <c r="O446" s="18" t="s">
        <v>10</v>
      </c>
      <c r="P446" s="18" t="s">
        <v>10438</v>
      </c>
      <c r="Q446" s="18" t="s">
        <v>33</v>
      </c>
      <c r="R446" s="18" t="s">
        <v>10439</v>
      </c>
      <c r="S446" s="1" t="s">
        <v>6243</v>
      </c>
      <c r="T446" s="1">
        <f t="shared" si="24"/>
        <v>2454</v>
      </c>
      <c r="U446" s="1">
        <f t="shared" si="25"/>
        <v>2454</v>
      </c>
      <c r="V446" s="1">
        <v>2454</v>
      </c>
    </row>
    <row r="447" spans="1:43" x14ac:dyDescent="0.2">
      <c r="A447" s="18" t="s">
        <v>9791</v>
      </c>
      <c r="B447" s="18">
        <v>23213074</v>
      </c>
      <c r="C447" s="18" t="s">
        <v>7421</v>
      </c>
      <c r="D447" s="18"/>
      <c r="E447" s="19">
        <v>9</v>
      </c>
      <c r="F447" s="18"/>
      <c r="G447" s="18" t="s">
        <v>6635</v>
      </c>
      <c r="H447" s="18" t="s">
        <v>1641</v>
      </c>
      <c r="I447" s="24">
        <v>41320</v>
      </c>
      <c r="J447" s="18" t="s">
        <v>11</v>
      </c>
      <c r="K447" s="18" t="s">
        <v>2091</v>
      </c>
      <c r="L447" s="18" t="s">
        <v>9792</v>
      </c>
      <c r="M447" s="18"/>
      <c r="N447" s="18" t="s">
        <v>10</v>
      </c>
      <c r="O447" s="18" t="s">
        <v>10</v>
      </c>
      <c r="P447" s="18" t="s">
        <v>9793</v>
      </c>
      <c r="Q447" s="18" t="s">
        <v>33</v>
      </c>
      <c r="R447" s="18" t="s">
        <v>9794</v>
      </c>
      <c r="S447" s="1" t="s">
        <v>6243</v>
      </c>
      <c r="T447" s="1">
        <f t="shared" si="24"/>
        <v>928</v>
      </c>
      <c r="U447" s="1">
        <f t="shared" si="25"/>
        <v>928</v>
      </c>
      <c r="V447" s="1">
        <f>126+802</f>
        <v>928</v>
      </c>
    </row>
    <row r="448" spans="1:43" x14ac:dyDescent="0.2">
      <c r="A448" s="18" t="s">
        <v>3076</v>
      </c>
      <c r="B448" s="18">
        <v>23216389</v>
      </c>
      <c r="C448" s="18" t="s">
        <v>7421</v>
      </c>
      <c r="D448" s="18"/>
      <c r="E448" s="19">
        <v>167</v>
      </c>
      <c r="F448" s="18"/>
      <c r="G448" s="18" t="s">
        <v>7554</v>
      </c>
      <c r="H448" s="18" t="s">
        <v>7555</v>
      </c>
      <c r="I448" s="24">
        <v>41249</v>
      </c>
      <c r="J448" s="18" t="s">
        <v>11</v>
      </c>
      <c r="K448" s="18" t="s">
        <v>1350</v>
      </c>
      <c r="L448" s="18" t="s">
        <v>7559</v>
      </c>
      <c r="M448" s="18"/>
      <c r="N448" s="18" t="s">
        <v>10</v>
      </c>
      <c r="O448" s="18" t="s">
        <v>10</v>
      </c>
      <c r="P448" s="18" t="s">
        <v>7560</v>
      </c>
      <c r="Q448" s="18" t="s">
        <v>7561</v>
      </c>
      <c r="R448" s="18" t="s">
        <v>7558</v>
      </c>
      <c r="S448" s="1" t="s">
        <v>6244</v>
      </c>
      <c r="T448" s="1">
        <f t="shared" si="24"/>
        <v>6880</v>
      </c>
      <c r="U448" s="1">
        <f t="shared" si="25"/>
        <v>2214</v>
      </c>
      <c r="V448" s="1">
        <f>818+1396</f>
        <v>2214</v>
      </c>
      <c r="AH448" s="1">
        <f>SUM(AI448:AT448)</f>
        <v>4666</v>
      </c>
      <c r="AI448" s="1">
        <f>907+2830</f>
        <v>3737</v>
      </c>
      <c r="AJ448" s="1">
        <f>480+449</f>
        <v>929</v>
      </c>
    </row>
    <row r="449" spans="1:37" x14ac:dyDescent="0.2">
      <c r="A449" s="18" t="s">
        <v>7941</v>
      </c>
      <c r="B449" s="18">
        <v>23218918</v>
      </c>
      <c r="C449" s="18" t="s">
        <v>7421</v>
      </c>
      <c r="D449" s="18"/>
      <c r="E449" s="19">
        <v>54</v>
      </c>
      <c r="F449" s="18"/>
      <c r="G449" s="18" t="s">
        <v>7942</v>
      </c>
      <c r="H449" s="18" t="s">
        <v>7943</v>
      </c>
      <c r="I449" s="24">
        <v>41247</v>
      </c>
      <c r="J449" s="18" t="s">
        <v>11</v>
      </c>
      <c r="K449" s="18" t="s">
        <v>7944</v>
      </c>
      <c r="L449" s="18" t="s">
        <v>7945</v>
      </c>
      <c r="M449" s="18"/>
      <c r="N449" s="18" t="s">
        <v>10</v>
      </c>
      <c r="O449" s="18" t="s">
        <v>10</v>
      </c>
      <c r="P449" s="18" t="s">
        <v>7946</v>
      </c>
      <c r="Q449" s="18" t="s">
        <v>33</v>
      </c>
      <c r="R449" s="18" t="s">
        <v>7947</v>
      </c>
      <c r="S449" s="1" t="s">
        <v>6248</v>
      </c>
      <c r="T449" s="1">
        <f t="shared" si="24"/>
        <v>150</v>
      </c>
      <c r="U449" s="1">
        <f t="shared" si="25"/>
        <v>150</v>
      </c>
      <c r="AE449" s="1">
        <v>150</v>
      </c>
    </row>
    <row r="450" spans="1:37" x14ac:dyDescent="0.2">
      <c r="A450" s="18" t="s">
        <v>8022</v>
      </c>
      <c r="B450" s="18">
        <v>23222517</v>
      </c>
      <c r="C450" s="18" t="s">
        <v>7421</v>
      </c>
      <c r="D450" s="18"/>
      <c r="E450" s="19">
        <v>8028</v>
      </c>
      <c r="F450" s="18"/>
      <c r="G450" s="18" t="s">
        <v>8014</v>
      </c>
      <c r="H450" s="18" t="s">
        <v>7219</v>
      </c>
      <c r="I450" s="24">
        <v>41263</v>
      </c>
      <c r="J450" s="18" t="s">
        <v>11</v>
      </c>
      <c r="K450" s="18" t="s">
        <v>58</v>
      </c>
      <c r="L450" s="18" t="s">
        <v>8023</v>
      </c>
      <c r="M450" s="18"/>
      <c r="N450" s="18" t="s">
        <v>10</v>
      </c>
      <c r="O450" s="18" t="s">
        <v>10</v>
      </c>
      <c r="P450" s="18" t="s">
        <v>8024</v>
      </c>
      <c r="Q450" s="18" t="s">
        <v>8025</v>
      </c>
      <c r="R450" s="18" t="s">
        <v>8026</v>
      </c>
      <c r="S450" s="1" t="s">
        <v>6244</v>
      </c>
      <c r="T450" s="1">
        <f t="shared" si="24"/>
        <v>135367</v>
      </c>
      <c r="U450" s="1">
        <f t="shared" si="25"/>
        <v>71861</v>
      </c>
      <c r="V450" s="1">
        <v>62553</v>
      </c>
      <c r="Y450" s="1">
        <v>9308</v>
      </c>
      <c r="AH450" s="1">
        <f>SUM(AI450:AT450)</f>
        <v>63506</v>
      </c>
      <c r="AI450" s="1">
        <v>63506</v>
      </c>
    </row>
    <row r="451" spans="1:37" x14ac:dyDescent="0.2">
      <c r="A451" s="18" t="s">
        <v>1090</v>
      </c>
      <c r="B451" s="18">
        <v>23223146</v>
      </c>
      <c r="C451" s="18" t="s">
        <v>7421</v>
      </c>
      <c r="D451" s="18"/>
      <c r="E451" s="19">
        <v>3</v>
      </c>
      <c r="F451" s="18"/>
      <c r="G451" s="18" t="s">
        <v>8806</v>
      </c>
      <c r="H451" s="18" t="s">
        <v>8807</v>
      </c>
      <c r="I451" s="24">
        <v>41249</v>
      </c>
      <c r="J451" s="18" t="s">
        <v>11</v>
      </c>
      <c r="K451" s="18" t="s">
        <v>811</v>
      </c>
      <c r="L451" s="18" t="s">
        <v>8808</v>
      </c>
      <c r="M451" s="18"/>
      <c r="N451" s="18" t="s">
        <v>11</v>
      </c>
      <c r="O451" s="18" t="s">
        <v>11</v>
      </c>
      <c r="P451" s="18" t="s">
        <v>8809</v>
      </c>
      <c r="Q451" s="18" t="s">
        <v>33</v>
      </c>
      <c r="R451" s="18" t="s">
        <v>8810</v>
      </c>
      <c r="S451" s="1" t="s">
        <v>6243</v>
      </c>
      <c r="T451" s="1">
        <f t="shared" si="24"/>
        <v>502</v>
      </c>
      <c r="U451" s="1">
        <f t="shared" si="25"/>
        <v>502</v>
      </c>
      <c r="V451" s="1">
        <v>502</v>
      </c>
    </row>
    <row r="452" spans="1:37" x14ac:dyDescent="0.2">
      <c r="A452" s="18" t="s">
        <v>9232</v>
      </c>
      <c r="B452" s="18">
        <v>23225573</v>
      </c>
      <c r="C452" s="18" t="s">
        <v>7421</v>
      </c>
      <c r="D452" s="18"/>
      <c r="E452" s="19">
        <v>17</v>
      </c>
      <c r="F452" s="18"/>
      <c r="G452" s="18" t="s">
        <v>9233</v>
      </c>
      <c r="H452" s="18" t="s">
        <v>9234</v>
      </c>
      <c r="I452" s="24">
        <v>41289</v>
      </c>
      <c r="J452" s="18" t="s">
        <v>11</v>
      </c>
      <c r="K452" s="18" t="s">
        <v>549</v>
      </c>
      <c r="L452" s="18" t="s">
        <v>9235</v>
      </c>
      <c r="M452" s="18"/>
      <c r="N452" s="18" t="s">
        <v>10</v>
      </c>
      <c r="O452" s="18" t="s">
        <v>10</v>
      </c>
      <c r="P452" s="18" t="s">
        <v>9236</v>
      </c>
      <c r="Q452" s="18" t="s">
        <v>9237</v>
      </c>
      <c r="R452" s="18" t="s">
        <v>9238</v>
      </c>
      <c r="S452" s="1" t="s">
        <v>6243</v>
      </c>
      <c r="T452" s="1">
        <f t="shared" si="24"/>
        <v>638</v>
      </c>
      <c r="U452" s="1">
        <f t="shared" si="25"/>
        <v>229</v>
      </c>
      <c r="V452" s="1">
        <v>229</v>
      </c>
      <c r="AH452" s="1">
        <f>SUM(AI452:AT452)</f>
        <v>409</v>
      </c>
      <c r="AI452" s="1">
        <v>409</v>
      </c>
    </row>
    <row r="453" spans="1:37" x14ac:dyDescent="0.2">
      <c r="A453" s="18" t="s">
        <v>2424</v>
      </c>
      <c r="B453" s="18">
        <v>23229837</v>
      </c>
      <c r="C453" s="18" t="s">
        <v>7421</v>
      </c>
      <c r="D453" s="18"/>
      <c r="E453" s="19">
        <v>46</v>
      </c>
      <c r="F453" s="18"/>
      <c r="G453" s="18" t="s">
        <v>178</v>
      </c>
      <c r="H453" s="18" t="s">
        <v>179</v>
      </c>
      <c r="I453" s="24">
        <v>41254</v>
      </c>
      <c r="J453" s="18" t="s">
        <v>11</v>
      </c>
      <c r="K453" s="18" t="s">
        <v>9744</v>
      </c>
      <c r="L453" s="18" t="s">
        <v>9745</v>
      </c>
      <c r="M453" s="18"/>
      <c r="N453" s="18" t="s">
        <v>10</v>
      </c>
      <c r="O453" s="18" t="s">
        <v>10</v>
      </c>
      <c r="P453" s="18" t="s">
        <v>9746</v>
      </c>
      <c r="Q453" s="18" t="s">
        <v>33</v>
      </c>
      <c r="R453" s="18" t="s">
        <v>9747</v>
      </c>
      <c r="S453" s="1" t="s">
        <v>6243</v>
      </c>
      <c r="T453" s="1">
        <f t="shared" si="24"/>
        <v>2748</v>
      </c>
      <c r="U453" s="1">
        <f t="shared" si="25"/>
        <v>2748</v>
      </c>
      <c r="V453" s="1">
        <v>2748</v>
      </c>
    </row>
    <row r="454" spans="1:37" x14ac:dyDescent="0.2">
      <c r="A454" s="18" t="s">
        <v>10333</v>
      </c>
      <c r="B454" s="18">
        <v>23233654</v>
      </c>
      <c r="C454" s="18" t="s">
        <v>7421</v>
      </c>
      <c r="D454" s="18"/>
      <c r="E454" s="19">
        <v>2359</v>
      </c>
      <c r="F454" s="18"/>
      <c r="G454" s="18" t="s">
        <v>10328</v>
      </c>
      <c r="H454" s="18" t="s">
        <v>10329</v>
      </c>
      <c r="I454" s="24">
        <v>41254</v>
      </c>
      <c r="J454" s="18" t="s">
        <v>11</v>
      </c>
      <c r="K454" s="18" t="s">
        <v>1944</v>
      </c>
      <c r="L454" s="18" t="s">
        <v>10334</v>
      </c>
      <c r="M454" s="18"/>
      <c r="N454" s="18" t="s">
        <v>10</v>
      </c>
      <c r="O454" s="18" t="s">
        <v>10</v>
      </c>
      <c r="P454" s="18" t="s">
        <v>10335</v>
      </c>
      <c r="Q454" s="18" t="s">
        <v>10336</v>
      </c>
      <c r="R454" s="18" t="s">
        <v>10337</v>
      </c>
      <c r="S454" s="1" t="s">
        <v>6243</v>
      </c>
      <c r="T454" s="1">
        <f t="shared" si="24"/>
        <v>2703</v>
      </c>
      <c r="U454" s="1">
        <f t="shared" si="25"/>
        <v>882</v>
      </c>
      <c r="V454" s="1">
        <v>882</v>
      </c>
      <c r="AH454" s="1">
        <f>SUM(AI454:AT454)</f>
        <v>1821</v>
      </c>
      <c r="AI454" s="1">
        <v>1821</v>
      </c>
    </row>
    <row r="455" spans="1:37" x14ac:dyDescent="0.2">
      <c r="A455" s="18" t="s">
        <v>9605</v>
      </c>
      <c r="B455" s="18">
        <v>23233662</v>
      </c>
      <c r="C455" s="18" t="s">
        <v>7421</v>
      </c>
      <c r="D455" s="18"/>
      <c r="E455" s="19">
        <v>102</v>
      </c>
      <c r="F455" s="18"/>
      <c r="G455" s="18" t="s">
        <v>9606</v>
      </c>
      <c r="H455" s="18" t="s">
        <v>9567</v>
      </c>
      <c r="I455" s="24">
        <v>41312</v>
      </c>
      <c r="J455" s="18" t="s">
        <v>11</v>
      </c>
      <c r="K455" s="18" t="s">
        <v>455</v>
      </c>
      <c r="L455" s="18" t="s">
        <v>9607</v>
      </c>
      <c r="M455" s="18"/>
      <c r="N455" s="18" t="s">
        <v>10</v>
      </c>
      <c r="O455" s="18" t="s">
        <v>10</v>
      </c>
      <c r="P455" s="18" t="s">
        <v>9608</v>
      </c>
      <c r="Q455" s="18" t="s">
        <v>9609</v>
      </c>
      <c r="R455" s="18" t="s">
        <v>9610</v>
      </c>
      <c r="S455" s="1" t="s">
        <v>6244</v>
      </c>
      <c r="T455" s="1">
        <f t="shared" si="24"/>
        <v>1978</v>
      </c>
      <c r="U455" s="1">
        <f t="shared" si="25"/>
        <v>1279</v>
      </c>
      <c r="V455" s="1">
        <v>806</v>
      </c>
      <c r="W455" s="1">
        <v>58</v>
      </c>
      <c r="X455" s="1">
        <v>22</v>
      </c>
      <c r="Z455" s="1">
        <v>266</v>
      </c>
      <c r="AE455" s="1">
        <v>127</v>
      </c>
      <c r="AH455" s="1">
        <f>SUM(AI455:AT455)</f>
        <v>699</v>
      </c>
      <c r="AI455" s="1">
        <v>699</v>
      </c>
    </row>
    <row r="456" spans="1:37" x14ac:dyDescent="0.2">
      <c r="A456" s="18" t="s">
        <v>9378</v>
      </c>
      <c r="B456" s="18">
        <v>23236364</v>
      </c>
      <c r="C456" s="18" t="s">
        <v>7421</v>
      </c>
      <c r="D456" s="18"/>
      <c r="E456" s="19">
        <v>92</v>
      </c>
      <c r="F456" s="18"/>
      <c r="G456" s="18" t="s">
        <v>242</v>
      </c>
      <c r="H456" s="18" t="s">
        <v>7160</v>
      </c>
      <c r="I456" s="24">
        <v>41250</v>
      </c>
      <c r="J456" s="18" t="s">
        <v>10</v>
      </c>
      <c r="K456" s="18" t="s">
        <v>181</v>
      </c>
      <c r="L456" s="18" t="s">
        <v>9379</v>
      </c>
      <c r="M456" s="18"/>
      <c r="N456" s="18" t="s">
        <v>10</v>
      </c>
      <c r="O456" s="18" t="s">
        <v>10</v>
      </c>
      <c r="P456" s="18" t="s">
        <v>9380</v>
      </c>
      <c r="Q456" s="18" t="s">
        <v>9381</v>
      </c>
      <c r="R456" s="18" t="s">
        <v>8503</v>
      </c>
      <c r="S456" s="1" t="s">
        <v>6244</v>
      </c>
      <c r="T456" s="1">
        <f t="shared" si="24"/>
        <v>16813</v>
      </c>
      <c r="U456" s="1">
        <f t="shared" si="25"/>
        <v>9813</v>
      </c>
      <c r="W456" s="1">
        <v>7657</v>
      </c>
      <c r="X456" s="1">
        <v>841</v>
      </c>
      <c r="Z456" s="1">
        <v>1315</v>
      </c>
      <c r="AH456" s="1">
        <f>SUM(AI456:AT456)</f>
        <v>7000</v>
      </c>
      <c r="AJ456" s="1">
        <v>7000</v>
      </c>
    </row>
    <row r="457" spans="1:37" x14ac:dyDescent="0.2">
      <c r="A457" s="18" t="s">
        <v>9528</v>
      </c>
      <c r="B457" s="18">
        <v>23237013</v>
      </c>
      <c r="C457" s="18" t="s">
        <v>7421</v>
      </c>
      <c r="D457" s="18"/>
      <c r="E457" s="19">
        <v>8</v>
      </c>
      <c r="F457" s="18"/>
      <c r="G457" s="18" t="s">
        <v>10549</v>
      </c>
      <c r="H457" s="18" t="s">
        <v>6817</v>
      </c>
      <c r="I457" s="24">
        <v>41257</v>
      </c>
      <c r="J457" s="18" t="s">
        <v>11</v>
      </c>
      <c r="K457" s="18" t="s">
        <v>3258</v>
      </c>
      <c r="L457" s="18" t="s">
        <v>10550</v>
      </c>
      <c r="M457" s="18"/>
      <c r="N457" s="18" t="s">
        <v>10</v>
      </c>
      <c r="O457" s="18" t="s">
        <v>10</v>
      </c>
      <c r="P457" s="18" t="s">
        <v>10551</v>
      </c>
      <c r="Q457" s="18" t="s">
        <v>10552</v>
      </c>
      <c r="R457" s="18" t="s">
        <v>10553</v>
      </c>
      <c r="S457" s="1" t="s">
        <v>6243</v>
      </c>
      <c r="T457" s="1">
        <f t="shared" si="24"/>
        <v>3699</v>
      </c>
      <c r="U457" s="1">
        <f t="shared" si="25"/>
        <v>2578</v>
      </c>
      <c r="V457" s="1">
        <v>2578</v>
      </c>
      <c r="AH457" s="1">
        <f>SUM(AI457:AT457)</f>
        <v>1121</v>
      </c>
      <c r="AI457" s="1">
        <f>864+257</f>
        <v>1121</v>
      </c>
    </row>
    <row r="458" spans="1:37" x14ac:dyDescent="0.2">
      <c r="A458" s="18" t="s">
        <v>3153</v>
      </c>
      <c r="B458" s="18">
        <v>23241943</v>
      </c>
      <c r="C458" s="18" t="s">
        <v>7421</v>
      </c>
      <c r="D458" s="18"/>
      <c r="E458" s="19">
        <v>22</v>
      </c>
      <c r="F458" s="18"/>
      <c r="G458" s="18" t="s">
        <v>7740</v>
      </c>
      <c r="H458" s="18" t="s">
        <v>7741</v>
      </c>
      <c r="I458" s="24">
        <v>41320</v>
      </c>
      <c r="J458" s="18" t="s">
        <v>11</v>
      </c>
      <c r="K458" s="18" t="s">
        <v>294</v>
      </c>
      <c r="L458" s="18" t="s">
        <v>7742</v>
      </c>
      <c r="M458" s="18"/>
      <c r="N458" s="18" t="s">
        <v>10</v>
      </c>
      <c r="O458" s="18" t="s">
        <v>10</v>
      </c>
      <c r="P458" s="18" t="s">
        <v>7743</v>
      </c>
      <c r="Q458" s="18" t="s">
        <v>33</v>
      </c>
      <c r="R458" s="18" t="s">
        <v>7744</v>
      </c>
      <c r="S458" s="1" t="s">
        <v>6244</v>
      </c>
      <c r="T458" s="1">
        <f t="shared" si="24"/>
        <v>738</v>
      </c>
      <c r="U458" s="1">
        <f t="shared" si="25"/>
        <v>738</v>
      </c>
      <c r="V458" s="1">
        <v>421</v>
      </c>
      <c r="W458" s="1">
        <v>214</v>
      </c>
      <c r="AE458" s="1">
        <v>103</v>
      </c>
    </row>
    <row r="459" spans="1:37" x14ac:dyDescent="0.2">
      <c r="A459" s="18" t="s">
        <v>9395</v>
      </c>
      <c r="B459" s="18">
        <v>23242368</v>
      </c>
      <c r="C459" s="18" t="s">
        <v>7421</v>
      </c>
      <c r="D459" s="18"/>
      <c r="E459" s="19">
        <v>49</v>
      </c>
      <c r="F459" s="18"/>
      <c r="G459" s="18" t="s">
        <v>6839</v>
      </c>
      <c r="H459" s="18" t="s">
        <v>6613</v>
      </c>
      <c r="I459" s="24">
        <v>41259</v>
      </c>
      <c r="J459" s="18" t="s">
        <v>11</v>
      </c>
      <c r="K459" s="18" t="s">
        <v>28</v>
      </c>
      <c r="L459" s="18" t="s">
        <v>9396</v>
      </c>
      <c r="M459" s="18"/>
      <c r="N459" s="18" t="s">
        <v>10</v>
      </c>
      <c r="O459" s="18" t="s">
        <v>10</v>
      </c>
      <c r="P459" s="18" t="s">
        <v>9397</v>
      </c>
      <c r="Q459" s="18" t="s">
        <v>9398</v>
      </c>
      <c r="R459" s="18" t="s">
        <v>9399</v>
      </c>
      <c r="S459" s="1" t="s">
        <v>6242</v>
      </c>
      <c r="T459" s="1">
        <f t="shared" si="24"/>
        <v>11799</v>
      </c>
      <c r="U459" s="1">
        <f t="shared" si="25"/>
        <v>2514</v>
      </c>
      <c r="X459" s="1">
        <f>1161+1353</f>
        <v>2514</v>
      </c>
      <c r="AH459" s="1">
        <f>SUM(AI459:AT459)</f>
        <v>9285</v>
      </c>
      <c r="AK459" s="1">
        <f>4319+4966</f>
        <v>9285</v>
      </c>
    </row>
    <row r="460" spans="1:37" x14ac:dyDescent="0.2">
      <c r="A460" s="18" t="s">
        <v>9278</v>
      </c>
      <c r="B460" s="18">
        <v>23246012</v>
      </c>
      <c r="C460" s="18" t="s">
        <v>7421</v>
      </c>
      <c r="D460" s="18"/>
      <c r="E460" s="19">
        <v>20</v>
      </c>
      <c r="F460" s="18"/>
      <c r="G460" s="18" t="s">
        <v>9279</v>
      </c>
      <c r="H460" s="18" t="s">
        <v>7244</v>
      </c>
      <c r="I460" s="24">
        <v>41236</v>
      </c>
      <c r="J460" s="18" t="s">
        <v>10</v>
      </c>
      <c r="K460" s="18" t="s">
        <v>816</v>
      </c>
      <c r="L460" s="18" t="s">
        <v>9280</v>
      </c>
      <c r="M460" s="18"/>
      <c r="N460" s="18" t="s">
        <v>10</v>
      </c>
      <c r="O460" s="18" t="s">
        <v>10</v>
      </c>
      <c r="P460" s="18" t="s">
        <v>9281</v>
      </c>
      <c r="Q460" s="18" t="s">
        <v>9282</v>
      </c>
      <c r="R460" s="18" t="s">
        <v>9283</v>
      </c>
      <c r="S460" s="1" t="s">
        <v>6243</v>
      </c>
      <c r="T460" s="1">
        <f t="shared" si="24"/>
        <v>9367</v>
      </c>
      <c r="U460" s="1">
        <f t="shared" si="25"/>
        <v>3612</v>
      </c>
      <c r="V460" s="1">
        <v>3612</v>
      </c>
      <c r="AH460" s="1">
        <f>SUM(AI460:AT460)</f>
        <v>5755</v>
      </c>
      <c r="AI460" s="1">
        <v>5755</v>
      </c>
    </row>
    <row r="461" spans="1:37" x14ac:dyDescent="0.2">
      <c r="A461" s="18" t="s">
        <v>2472</v>
      </c>
      <c r="B461" s="18">
        <v>23247143</v>
      </c>
      <c r="C461" s="18" t="s">
        <v>7421</v>
      </c>
      <c r="D461" s="18"/>
      <c r="E461" s="19">
        <v>26</v>
      </c>
      <c r="F461" s="18"/>
      <c r="G461" s="18" t="s">
        <v>10726</v>
      </c>
      <c r="H461" s="18" t="s">
        <v>7202</v>
      </c>
      <c r="I461" s="24">
        <v>41259</v>
      </c>
      <c r="J461" s="18" t="s">
        <v>11</v>
      </c>
      <c r="K461" s="18" t="s">
        <v>551</v>
      </c>
      <c r="L461" s="18" t="s">
        <v>10727</v>
      </c>
      <c r="M461" s="18"/>
      <c r="N461" s="18" t="s">
        <v>10</v>
      </c>
      <c r="O461" s="18" t="s">
        <v>10</v>
      </c>
      <c r="P461" s="18" t="s">
        <v>10728</v>
      </c>
      <c r="Q461" s="18" t="s">
        <v>33</v>
      </c>
      <c r="R461" s="18" t="s">
        <v>10729</v>
      </c>
      <c r="S461" s="1" t="s">
        <v>6244</v>
      </c>
      <c r="T461" s="1">
        <f t="shared" si="24"/>
        <v>11544</v>
      </c>
      <c r="U461" s="1">
        <f t="shared" si="25"/>
        <v>11544</v>
      </c>
      <c r="V461" s="1">
        <v>9491</v>
      </c>
      <c r="W461" s="1">
        <v>2053</v>
      </c>
    </row>
    <row r="462" spans="1:37" x14ac:dyDescent="0.2">
      <c r="A462" s="18" t="s">
        <v>9901</v>
      </c>
      <c r="B462" s="18">
        <v>23247145</v>
      </c>
      <c r="C462" s="18" t="s">
        <v>7421</v>
      </c>
      <c r="D462" s="18"/>
      <c r="E462" s="19">
        <v>12</v>
      </c>
      <c r="F462" s="18"/>
      <c r="G462" s="18" t="s">
        <v>9902</v>
      </c>
      <c r="H462" s="18" t="s">
        <v>7160</v>
      </c>
      <c r="I462" s="24">
        <v>41260</v>
      </c>
      <c r="J462" s="18" t="s">
        <v>11</v>
      </c>
      <c r="K462" s="18" t="s">
        <v>551</v>
      </c>
      <c r="L462" s="18" t="s">
        <v>9903</v>
      </c>
      <c r="M462" s="18"/>
      <c r="N462" s="18" t="s">
        <v>10</v>
      </c>
      <c r="O462" s="18" t="s">
        <v>10</v>
      </c>
      <c r="P462" s="18" t="s">
        <v>9904</v>
      </c>
      <c r="Q462" s="18" t="s">
        <v>9905</v>
      </c>
      <c r="R462" s="18" t="s">
        <v>8278</v>
      </c>
      <c r="S462" s="1" t="s">
        <v>6243</v>
      </c>
      <c r="T462" s="1">
        <f t="shared" si="24"/>
        <v>6318</v>
      </c>
      <c r="U462" s="1">
        <f t="shared" si="25"/>
        <v>2080</v>
      </c>
      <c r="V462" s="1">
        <v>2080</v>
      </c>
      <c r="AH462" s="1">
        <f>SUM(AI462:AT462)</f>
        <v>4238</v>
      </c>
      <c r="AI462" s="1">
        <v>4238</v>
      </c>
    </row>
    <row r="463" spans="1:37" x14ac:dyDescent="0.2">
      <c r="A463" s="18" t="s">
        <v>9827</v>
      </c>
      <c r="B463" s="18">
        <v>23251661</v>
      </c>
      <c r="C463" s="18" t="s">
        <v>7421</v>
      </c>
      <c r="D463" s="18"/>
      <c r="E463" s="19">
        <v>1443</v>
      </c>
      <c r="F463" s="18"/>
      <c r="G463" s="18" t="s">
        <v>9828</v>
      </c>
      <c r="H463" s="18" t="s">
        <v>7302</v>
      </c>
      <c r="I463" s="24">
        <v>41257</v>
      </c>
      <c r="J463" s="18" t="s">
        <v>11</v>
      </c>
      <c r="K463" s="18" t="s">
        <v>181</v>
      </c>
      <c r="L463" s="18" t="s">
        <v>9829</v>
      </c>
      <c r="M463" s="18"/>
      <c r="N463" s="18" t="s">
        <v>10</v>
      </c>
      <c r="O463" s="18" t="s">
        <v>10</v>
      </c>
      <c r="P463" s="18" t="s">
        <v>9830</v>
      </c>
      <c r="Q463" s="18" t="s">
        <v>33</v>
      </c>
      <c r="R463" s="18" t="s">
        <v>9831</v>
      </c>
      <c r="S463" s="1" t="s">
        <v>6270</v>
      </c>
      <c r="T463" s="1">
        <f t="shared" si="24"/>
        <v>815</v>
      </c>
      <c r="U463" s="1">
        <f t="shared" si="25"/>
        <v>815</v>
      </c>
      <c r="Z463" s="1">
        <v>815</v>
      </c>
    </row>
    <row r="464" spans="1:37" x14ac:dyDescent="0.2">
      <c r="A464" s="18" t="s">
        <v>10144</v>
      </c>
      <c r="B464" s="18">
        <v>23255287</v>
      </c>
      <c r="C464" s="18" t="s">
        <v>7421</v>
      </c>
      <c r="D464" s="18">
        <v>1</v>
      </c>
      <c r="E464" s="19">
        <v>0</v>
      </c>
      <c r="F464" s="18"/>
      <c r="G464" s="18" t="s">
        <v>77</v>
      </c>
      <c r="H464" s="18" t="s">
        <v>6689</v>
      </c>
      <c r="I464" s="24">
        <v>41262</v>
      </c>
      <c r="J464" s="18" t="s">
        <v>10</v>
      </c>
      <c r="K464" s="18" t="s">
        <v>10145</v>
      </c>
      <c r="L464" s="18" t="s">
        <v>10146</v>
      </c>
      <c r="M464" s="18"/>
      <c r="N464" s="18" t="s">
        <v>11</v>
      </c>
      <c r="O464" s="18" t="s">
        <v>11</v>
      </c>
      <c r="P464" s="18" t="s">
        <v>10147</v>
      </c>
      <c r="Q464" s="18" t="s">
        <v>33</v>
      </c>
      <c r="R464" s="18" t="s">
        <v>10148</v>
      </c>
      <c r="S464" s="1" t="s">
        <v>6243</v>
      </c>
      <c r="T464" s="1">
        <f t="shared" si="24"/>
        <v>7240</v>
      </c>
      <c r="U464" s="1">
        <f t="shared" si="25"/>
        <v>7240</v>
      </c>
      <c r="V464" s="1">
        <f>2782+4458</f>
        <v>7240</v>
      </c>
    </row>
    <row r="465" spans="1:39" x14ac:dyDescent="0.2">
      <c r="A465" s="18" t="s">
        <v>2668</v>
      </c>
      <c r="B465" s="18">
        <v>23255317</v>
      </c>
      <c r="C465" s="18" t="s">
        <v>7421</v>
      </c>
      <c r="D465" s="18"/>
      <c r="E465" s="19">
        <v>2</v>
      </c>
      <c r="F465" s="18"/>
      <c r="G465" s="18" t="s">
        <v>9205</v>
      </c>
      <c r="H465" s="18" t="s">
        <v>7169</v>
      </c>
      <c r="I465" s="24">
        <v>41262</v>
      </c>
      <c r="J465" s="18" t="s">
        <v>11</v>
      </c>
      <c r="K465" s="18" t="s">
        <v>551</v>
      </c>
      <c r="L465" s="18" t="s">
        <v>9206</v>
      </c>
      <c r="M465" s="18"/>
      <c r="N465" s="18" t="s">
        <v>10</v>
      </c>
      <c r="O465" s="18" t="s">
        <v>10</v>
      </c>
      <c r="P465" s="18" t="s">
        <v>9207</v>
      </c>
      <c r="Q465" s="18" t="s">
        <v>9208</v>
      </c>
      <c r="R465" s="18" t="s">
        <v>9209</v>
      </c>
      <c r="S465" s="1" t="s">
        <v>6243</v>
      </c>
      <c r="T465" s="1">
        <f t="shared" si="24"/>
        <v>3335</v>
      </c>
      <c r="U465" s="1">
        <f t="shared" si="25"/>
        <v>997</v>
      </c>
      <c r="V465" s="1">
        <f>174+823</f>
        <v>997</v>
      </c>
      <c r="AH465" s="1">
        <f>SUM(AI465:AT465)</f>
        <v>2338</v>
      </c>
      <c r="AI465" s="1">
        <f>1012+1326</f>
        <v>2338</v>
      </c>
    </row>
    <row r="466" spans="1:39" x14ac:dyDescent="0.2">
      <c r="A466" s="18" t="s">
        <v>1543</v>
      </c>
      <c r="B466" s="18">
        <v>23259602</v>
      </c>
      <c r="C466" s="18" t="s">
        <v>7421</v>
      </c>
      <c r="D466" s="18"/>
      <c r="E466" s="19">
        <v>456</v>
      </c>
      <c r="F466" s="18"/>
      <c r="G466" s="18" t="s">
        <v>8611</v>
      </c>
      <c r="H466" s="18" t="s">
        <v>7068</v>
      </c>
      <c r="I466" s="24">
        <v>41264</v>
      </c>
      <c r="J466" s="18" t="s">
        <v>11</v>
      </c>
      <c r="K466" s="18" t="s">
        <v>8612</v>
      </c>
      <c r="L466" s="18" t="s">
        <v>8613</v>
      </c>
      <c r="M466" s="18"/>
      <c r="N466" s="18" t="s">
        <v>10</v>
      </c>
      <c r="O466" s="18" t="s">
        <v>10</v>
      </c>
      <c r="P466" s="18" t="s">
        <v>8614</v>
      </c>
      <c r="Q466" s="18" t="s">
        <v>33</v>
      </c>
      <c r="R466" s="18" t="s">
        <v>8615</v>
      </c>
      <c r="S466" s="1" t="s">
        <v>6243</v>
      </c>
      <c r="T466" s="1">
        <f t="shared" si="24"/>
        <v>7443</v>
      </c>
      <c r="U466" s="1">
        <f t="shared" si="25"/>
        <v>7443</v>
      </c>
      <c r="V466" s="1">
        <f>1483+5960</f>
        <v>7443</v>
      </c>
    </row>
    <row r="467" spans="1:39" x14ac:dyDescent="0.2">
      <c r="A467" s="18" t="s">
        <v>10289</v>
      </c>
      <c r="B467" s="18">
        <v>23263444</v>
      </c>
      <c r="C467" s="18" t="s">
        <v>7421</v>
      </c>
      <c r="D467" s="18"/>
      <c r="E467" s="19">
        <v>370</v>
      </c>
      <c r="F467" s="18"/>
      <c r="G467" s="18" t="s">
        <v>10877</v>
      </c>
      <c r="H467" s="18" t="s">
        <v>10878</v>
      </c>
      <c r="I467" s="24">
        <v>41265</v>
      </c>
      <c r="J467" s="18" t="s">
        <v>11</v>
      </c>
      <c r="K467" s="18" t="s">
        <v>595</v>
      </c>
      <c r="L467" s="18" t="s">
        <v>10879</v>
      </c>
      <c r="M467" s="18"/>
      <c r="N467" s="18" t="s">
        <v>10</v>
      </c>
      <c r="O467" s="18" t="s">
        <v>10</v>
      </c>
      <c r="P467" s="18" t="s">
        <v>10292</v>
      </c>
      <c r="Q467" s="18" t="s">
        <v>10880</v>
      </c>
      <c r="R467" s="18" t="s">
        <v>7528</v>
      </c>
      <c r="S467" s="1" t="s">
        <v>6244</v>
      </c>
      <c r="T467" s="1">
        <f t="shared" si="24"/>
        <v>7021</v>
      </c>
      <c r="U467" s="1">
        <f t="shared" si="25"/>
        <v>817</v>
      </c>
      <c r="V467" s="1">
        <v>817</v>
      </c>
      <c r="AH467" s="1">
        <f>SUM(AI467:AT467)</f>
        <v>6204</v>
      </c>
      <c r="AI467" s="1">
        <v>2430</v>
      </c>
      <c r="AJ467" s="1">
        <v>1594</v>
      </c>
      <c r="AK467" s="1">
        <v>758</v>
      </c>
      <c r="AM467" s="1">
        <v>1422</v>
      </c>
    </row>
    <row r="468" spans="1:39" x14ac:dyDescent="0.2">
      <c r="A468" s="18" t="s">
        <v>10448</v>
      </c>
      <c r="B468" s="18">
        <v>23263445</v>
      </c>
      <c r="C468" s="18" t="s">
        <v>7421</v>
      </c>
      <c r="D468" s="18"/>
      <c r="E468" s="19">
        <v>31</v>
      </c>
      <c r="F468" s="18"/>
      <c r="G468" s="18" t="s">
        <v>1383</v>
      </c>
      <c r="H468" s="18" t="s">
        <v>7316</v>
      </c>
      <c r="I468" s="24">
        <v>41264</v>
      </c>
      <c r="J468" s="18" t="s">
        <v>11</v>
      </c>
      <c r="K468" s="18" t="s">
        <v>595</v>
      </c>
      <c r="L468" s="18" t="s">
        <v>10449</v>
      </c>
      <c r="M468" s="18"/>
      <c r="N468" s="18" t="s">
        <v>10</v>
      </c>
      <c r="O468" s="18" t="s">
        <v>10</v>
      </c>
      <c r="P468" s="18" t="s">
        <v>10450</v>
      </c>
      <c r="Q468" s="18" t="s">
        <v>10451</v>
      </c>
      <c r="R468" s="18" t="s">
        <v>10452</v>
      </c>
      <c r="S468" s="1" t="s">
        <v>6243</v>
      </c>
      <c r="T468" s="1">
        <f t="shared" si="24"/>
        <v>979</v>
      </c>
      <c r="U468" s="1">
        <f t="shared" si="25"/>
        <v>979</v>
      </c>
      <c r="V468" s="1">
        <v>979</v>
      </c>
    </row>
    <row r="469" spans="1:39" x14ac:dyDescent="0.2">
      <c r="A469" s="18" t="s">
        <v>1427</v>
      </c>
      <c r="B469" s="18">
        <v>23263486</v>
      </c>
      <c r="C469" s="18" t="s">
        <v>7421</v>
      </c>
      <c r="D469" s="18"/>
      <c r="E469" s="19">
        <v>2723</v>
      </c>
      <c r="F469" s="18"/>
      <c r="G469" s="18" t="s">
        <v>6732</v>
      </c>
      <c r="H469" s="18" t="s">
        <v>7328</v>
      </c>
      <c r="I469" s="24">
        <v>41266</v>
      </c>
      <c r="J469" s="18" t="s">
        <v>11</v>
      </c>
      <c r="K469" s="18" t="s">
        <v>28</v>
      </c>
      <c r="L469" s="18" t="s">
        <v>10807</v>
      </c>
      <c r="M469" s="18"/>
      <c r="N469" s="18" t="s">
        <v>10</v>
      </c>
      <c r="O469" s="18" t="s">
        <v>10</v>
      </c>
      <c r="P469" s="18" t="s">
        <v>10808</v>
      </c>
      <c r="Q469" s="18" t="s">
        <v>10809</v>
      </c>
      <c r="R469" s="18" t="s">
        <v>10810</v>
      </c>
      <c r="S469" s="1" t="s">
        <v>6243</v>
      </c>
      <c r="T469" s="1">
        <f t="shared" si="24"/>
        <v>70410</v>
      </c>
      <c r="U469" s="1">
        <f t="shared" si="25"/>
        <v>69374</v>
      </c>
      <c r="V469" s="1">
        <f>2115+67259</f>
        <v>69374</v>
      </c>
      <c r="AH469" s="1">
        <f>SUM(AI469:AT469)</f>
        <v>1036</v>
      </c>
      <c r="AI469" s="1">
        <v>1036</v>
      </c>
    </row>
    <row r="470" spans="1:39" x14ac:dyDescent="0.2">
      <c r="A470" s="18" t="s">
        <v>8427</v>
      </c>
      <c r="B470" s="18">
        <v>23263487</v>
      </c>
      <c r="C470" s="18" t="s">
        <v>7421</v>
      </c>
      <c r="D470" s="18"/>
      <c r="E470" s="19">
        <v>83</v>
      </c>
      <c r="F470" s="18"/>
      <c r="G470" s="18" t="s">
        <v>145</v>
      </c>
      <c r="H470" s="18" t="s">
        <v>146</v>
      </c>
      <c r="I470" s="24">
        <v>41266</v>
      </c>
      <c r="J470" s="18" t="s">
        <v>11</v>
      </c>
      <c r="K470" s="18" t="s">
        <v>28</v>
      </c>
      <c r="L470" s="18" t="s">
        <v>8428</v>
      </c>
      <c r="M470" s="18"/>
      <c r="N470" s="18" t="s">
        <v>10</v>
      </c>
      <c r="O470" s="18" t="s">
        <v>10</v>
      </c>
      <c r="P470" s="18" t="s">
        <v>8429</v>
      </c>
      <c r="Q470" s="18" t="s">
        <v>8430</v>
      </c>
      <c r="R470" s="18" t="s">
        <v>8431</v>
      </c>
      <c r="S470" s="1" t="s">
        <v>6244</v>
      </c>
      <c r="T470" s="1">
        <f t="shared" si="24"/>
        <v>45187</v>
      </c>
      <c r="U470" s="1">
        <f t="shared" si="25"/>
        <v>7847</v>
      </c>
      <c r="X470" s="1">
        <f>2098+5749</f>
        <v>7847</v>
      </c>
      <c r="AH470" s="1">
        <f>SUM(AI470:AT470)</f>
        <v>37340</v>
      </c>
      <c r="AI470" s="1">
        <v>26060</v>
      </c>
      <c r="AK470" s="1">
        <f>5358+5922</f>
        <v>11280</v>
      </c>
    </row>
    <row r="471" spans="1:39" x14ac:dyDescent="0.2">
      <c r="A471" s="18" t="s">
        <v>8845</v>
      </c>
      <c r="B471" s="18">
        <v>23263489</v>
      </c>
      <c r="C471" s="18" t="s">
        <v>7421</v>
      </c>
      <c r="D471" s="18"/>
      <c r="E471" s="19">
        <v>22</v>
      </c>
      <c r="F471" s="18"/>
      <c r="G471" s="18" t="s">
        <v>8846</v>
      </c>
      <c r="H471" s="18" t="s">
        <v>8847</v>
      </c>
      <c r="I471" s="24">
        <v>41263</v>
      </c>
      <c r="J471" s="18" t="s">
        <v>10</v>
      </c>
      <c r="K471" s="18" t="s">
        <v>28</v>
      </c>
      <c r="L471" s="18" t="s">
        <v>8848</v>
      </c>
      <c r="M471" s="18"/>
      <c r="N471" s="18" t="s">
        <v>11</v>
      </c>
      <c r="O471" s="18" t="s">
        <v>11</v>
      </c>
      <c r="P471" s="18" t="s">
        <v>8849</v>
      </c>
      <c r="Q471" s="18" t="s">
        <v>33</v>
      </c>
      <c r="R471" s="18" t="s">
        <v>8850</v>
      </c>
      <c r="S471" s="1" t="s">
        <v>6243</v>
      </c>
      <c r="T471" s="1">
        <f t="shared" si="24"/>
        <v>8229</v>
      </c>
      <c r="U471" s="1">
        <f t="shared" si="25"/>
        <v>8229</v>
      </c>
      <c r="V471" s="1">
        <v>8229</v>
      </c>
    </row>
    <row r="472" spans="1:39" x14ac:dyDescent="0.2">
      <c r="A472" s="18" t="s">
        <v>289</v>
      </c>
      <c r="B472" s="18">
        <v>23263863</v>
      </c>
      <c r="C472" s="18" t="s">
        <v>7421</v>
      </c>
      <c r="D472" s="18"/>
      <c r="E472" s="19">
        <v>158</v>
      </c>
      <c r="F472" s="18"/>
      <c r="G472" s="18" t="s">
        <v>6775</v>
      </c>
      <c r="H472" s="18" t="s">
        <v>8006</v>
      </c>
      <c r="I472" s="24">
        <v>41263</v>
      </c>
      <c r="J472" s="18" t="s">
        <v>11</v>
      </c>
      <c r="K472" s="18" t="s">
        <v>103</v>
      </c>
      <c r="L472" s="18" t="s">
        <v>8007</v>
      </c>
      <c r="M472" s="18"/>
      <c r="N472" s="18" t="s">
        <v>10</v>
      </c>
      <c r="O472" s="18" t="s">
        <v>10</v>
      </c>
      <c r="P472" s="18" t="s">
        <v>8008</v>
      </c>
      <c r="Q472" s="18" t="s">
        <v>33</v>
      </c>
      <c r="R472" s="18" t="s">
        <v>8009</v>
      </c>
      <c r="S472" s="1" t="s">
        <v>6244</v>
      </c>
      <c r="T472" s="1">
        <f t="shared" si="24"/>
        <v>14177</v>
      </c>
      <c r="U472" s="1">
        <f t="shared" si="25"/>
        <v>14177</v>
      </c>
      <c r="V472" s="1">
        <v>6234</v>
      </c>
      <c r="W472" s="1">
        <v>7943</v>
      </c>
    </row>
    <row r="473" spans="1:39" x14ac:dyDescent="0.2">
      <c r="A473" s="18" t="s">
        <v>2552</v>
      </c>
      <c r="B473" s="18">
        <v>23266556</v>
      </c>
      <c r="C473" s="18" t="s">
        <v>7421</v>
      </c>
      <c r="D473" s="18"/>
      <c r="E473" s="19">
        <v>385</v>
      </c>
      <c r="F473" s="18"/>
      <c r="G473" s="18" t="s">
        <v>145</v>
      </c>
      <c r="H473" s="18" t="s">
        <v>146</v>
      </c>
      <c r="I473" s="24">
        <v>41264</v>
      </c>
      <c r="J473" s="18" t="s">
        <v>11</v>
      </c>
      <c r="K473" s="18" t="s">
        <v>477</v>
      </c>
      <c r="L473" s="18" t="s">
        <v>8436</v>
      </c>
      <c r="M473" s="18"/>
      <c r="N473" s="18" t="s">
        <v>10</v>
      </c>
      <c r="O473" s="18" t="s">
        <v>10</v>
      </c>
      <c r="P473" s="18" t="s">
        <v>8437</v>
      </c>
      <c r="Q473" s="18" t="s">
        <v>8438</v>
      </c>
      <c r="R473" s="18" t="s">
        <v>8439</v>
      </c>
      <c r="S473" s="1" t="s">
        <v>6244</v>
      </c>
      <c r="T473" s="1">
        <f t="shared" si="24"/>
        <v>37523</v>
      </c>
      <c r="U473" s="1">
        <f t="shared" si="25"/>
        <v>27809</v>
      </c>
      <c r="V473" s="1">
        <f>12696+15113</f>
        <v>27809</v>
      </c>
      <c r="AH473" s="1">
        <f>SUM(AI473:AT473)</f>
        <v>9714</v>
      </c>
      <c r="AI473" s="1">
        <f>909+958</f>
        <v>1867</v>
      </c>
      <c r="AK473" s="1">
        <f>5749+2098</f>
        <v>7847</v>
      </c>
    </row>
    <row r="474" spans="1:39" x14ac:dyDescent="0.2">
      <c r="A474" s="18" t="s">
        <v>20</v>
      </c>
      <c r="B474" s="18">
        <v>23266558</v>
      </c>
      <c r="C474" s="18" t="s">
        <v>7421</v>
      </c>
      <c r="D474" s="18"/>
      <c r="E474" s="19">
        <v>575</v>
      </c>
      <c r="F474" s="18"/>
      <c r="G474" s="18" t="s">
        <v>21</v>
      </c>
      <c r="H474" s="18" t="s">
        <v>22</v>
      </c>
      <c r="I474" s="24">
        <v>41264</v>
      </c>
      <c r="J474" s="18" t="s">
        <v>11</v>
      </c>
      <c r="K474" s="18" t="s">
        <v>477</v>
      </c>
      <c r="L474" s="18" t="s">
        <v>8565</v>
      </c>
      <c r="M474" s="18"/>
      <c r="N474" s="18" t="s">
        <v>10</v>
      </c>
      <c r="O474" s="18" t="s">
        <v>10</v>
      </c>
      <c r="P474" s="18" t="s">
        <v>8566</v>
      </c>
      <c r="Q474" s="18" t="s">
        <v>8567</v>
      </c>
      <c r="R474" s="18" t="s">
        <v>8568</v>
      </c>
      <c r="S474" s="1" t="s">
        <v>6242</v>
      </c>
      <c r="T474" s="1">
        <f t="shared" si="24"/>
        <v>20712</v>
      </c>
      <c r="U474" s="1">
        <f t="shared" si="25"/>
        <v>3761</v>
      </c>
      <c r="X474" s="1">
        <f>372+3389</f>
        <v>3761</v>
      </c>
      <c r="AH474" s="1">
        <f>SUM(AI474:AT474)</f>
        <v>16951</v>
      </c>
      <c r="AK474" s="1">
        <f>1151+15800</f>
        <v>16951</v>
      </c>
    </row>
    <row r="475" spans="1:39" x14ac:dyDescent="0.2">
      <c r="A475" s="18" t="s">
        <v>10881</v>
      </c>
      <c r="B475" s="18">
        <v>23267103</v>
      </c>
      <c r="C475" s="18" t="s">
        <v>7421</v>
      </c>
      <c r="D475" s="18"/>
      <c r="E475" s="19">
        <v>15</v>
      </c>
      <c r="F475" s="18"/>
      <c r="G475" s="18" t="s">
        <v>7006</v>
      </c>
      <c r="H475" s="18" t="s">
        <v>7202</v>
      </c>
      <c r="I475" s="24">
        <v>41267</v>
      </c>
      <c r="J475" s="18" t="s">
        <v>11</v>
      </c>
      <c r="K475" s="18" t="s">
        <v>210</v>
      </c>
      <c r="L475" s="18" t="s">
        <v>10882</v>
      </c>
      <c r="M475" s="18"/>
      <c r="N475" s="18" t="s">
        <v>10</v>
      </c>
      <c r="O475" s="18" t="s">
        <v>10</v>
      </c>
      <c r="P475" s="18" t="s">
        <v>10883</v>
      </c>
      <c r="Q475" s="18" t="s">
        <v>33</v>
      </c>
      <c r="R475" s="18" t="s">
        <v>10884</v>
      </c>
      <c r="S475" s="1" t="s">
        <v>6243</v>
      </c>
      <c r="T475" s="1">
        <f t="shared" si="24"/>
        <v>3462</v>
      </c>
      <c r="U475" s="1">
        <f t="shared" si="25"/>
        <v>3462</v>
      </c>
      <c r="V475" s="1">
        <f>3250+212</f>
        <v>3462</v>
      </c>
    </row>
    <row r="476" spans="1:39" x14ac:dyDescent="0.2">
      <c r="A476" s="18" t="s">
        <v>1338</v>
      </c>
      <c r="B476" s="18">
        <v>23269536</v>
      </c>
      <c r="C476" s="18" t="s">
        <v>7421</v>
      </c>
      <c r="D476" s="18"/>
      <c r="E476" s="19">
        <v>9</v>
      </c>
      <c r="F476" s="18"/>
      <c r="G476" s="18" t="s">
        <v>10182</v>
      </c>
      <c r="H476" s="18" t="s">
        <v>7309</v>
      </c>
      <c r="I476" s="24">
        <v>41270</v>
      </c>
      <c r="J476" s="18" t="s">
        <v>11</v>
      </c>
      <c r="K476" s="18" t="s">
        <v>595</v>
      </c>
      <c r="L476" s="18" t="s">
        <v>10183</v>
      </c>
      <c r="M476" s="18"/>
      <c r="N476" s="18" t="s">
        <v>11</v>
      </c>
      <c r="O476" s="18" t="s">
        <v>11</v>
      </c>
      <c r="P476" s="18" t="s">
        <v>9221</v>
      </c>
      <c r="Q476" s="18" t="s">
        <v>9242</v>
      </c>
      <c r="R476" s="18" t="s">
        <v>10184</v>
      </c>
      <c r="S476" s="1" t="s">
        <v>6242</v>
      </c>
      <c r="T476" s="1">
        <f t="shared" si="24"/>
        <v>3495</v>
      </c>
      <c r="U476" s="1">
        <f t="shared" si="25"/>
        <v>1999</v>
      </c>
      <c r="X476" s="1">
        <v>1999</v>
      </c>
      <c r="AH476" s="1">
        <f>SUM(AI476:AT476)</f>
        <v>1496</v>
      </c>
      <c r="AK476" s="1">
        <v>1496</v>
      </c>
    </row>
    <row r="477" spans="1:39" x14ac:dyDescent="0.2">
      <c r="A477" s="18" t="s">
        <v>227</v>
      </c>
      <c r="B477" s="18">
        <v>23273568</v>
      </c>
      <c r="C477" s="18" t="s">
        <v>7421</v>
      </c>
      <c r="D477" s="18"/>
      <c r="E477" s="19">
        <v>144</v>
      </c>
      <c r="F477" s="18"/>
      <c r="G477" s="18" t="s">
        <v>218</v>
      </c>
      <c r="H477" s="18" t="s">
        <v>7376</v>
      </c>
      <c r="I477" s="24">
        <v>41270</v>
      </c>
      <c r="J477" s="18" t="s">
        <v>11</v>
      </c>
      <c r="K477" s="18" t="s">
        <v>16</v>
      </c>
      <c r="L477" s="18" t="s">
        <v>10599</v>
      </c>
      <c r="M477" s="18"/>
      <c r="N477" s="18" t="s">
        <v>10</v>
      </c>
      <c r="O477" s="18" t="s">
        <v>10</v>
      </c>
      <c r="P477" s="18" t="s">
        <v>10600</v>
      </c>
      <c r="Q477" s="18" t="s">
        <v>10601</v>
      </c>
      <c r="R477" s="18" t="s">
        <v>10602</v>
      </c>
      <c r="S477" s="1" t="s">
        <v>6242</v>
      </c>
      <c r="T477" s="1">
        <f t="shared" si="24"/>
        <v>15389</v>
      </c>
      <c r="U477" s="1">
        <f t="shared" si="25"/>
        <v>5050</v>
      </c>
      <c r="X477" s="1">
        <f>1656+3394</f>
        <v>5050</v>
      </c>
      <c r="AH477" s="1">
        <f>SUM(AI477:AT477)</f>
        <v>10339</v>
      </c>
      <c r="AK477" s="1">
        <f>963+3256+5667+453</f>
        <v>10339</v>
      </c>
    </row>
    <row r="478" spans="1:39" x14ac:dyDescent="0.2">
      <c r="A478" s="18" t="s">
        <v>244</v>
      </c>
      <c r="B478" s="18">
        <v>23275298</v>
      </c>
      <c r="C478" s="18" t="s">
        <v>7421</v>
      </c>
      <c r="D478" s="18"/>
      <c r="E478" s="19">
        <v>14</v>
      </c>
      <c r="F478" s="18"/>
      <c r="G478" s="18" t="s">
        <v>8255</v>
      </c>
      <c r="H478" s="18" t="s">
        <v>7242</v>
      </c>
      <c r="I478" s="24">
        <v>41271</v>
      </c>
      <c r="J478" s="18" t="s">
        <v>11</v>
      </c>
      <c r="K478" s="18" t="s">
        <v>551</v>
      </c>
      <c r="L478" s="18" t="s">
        <v>8256</v>
      </c>
      <c r="M478" s="18"/>
      <c r="N478" s="18" t="s">
        <v>10</v>
      </c>
      <c r="O478" s="18" t="s">
        <v>10</v>
      </c>
      <c r="P478" s="18" t="s">
        <v>8257</v>
      </c>
      <c r="Q478" s="18" t="s">
        <v>8258</v>
      </c>
      <c r="R478" s="18" t="s">
        <v>739</v>
      </c>
      <c r="S478" s="1" t="s">
        <v>6244</v>
      </c>
      <c r="T478" s="1">
        <f t="shared" si="24"/>
        <v>21845</v>
      </c>
      <c r="U478" s="1">
        <f t="shared" si="25"/>
        <v>6765</v>
      </c>
      <c r="W478" s="1">
        <v>6765</v>
      </c>
      <c r="AH478" s="1">
        <f>SUM(AI478:AT478)</f>
        <v>15080</v>
      </c>
      <c r="AI478" s="1">
        <v>12612</v>
      </c>
      <c r="AJ478" s="1">
        <v>2468</v>
      </c>
    </row>
    <row r="479" spans="1:39" x14ac:dyDescent="0.2">
      <c r="A479" s="18" t="s">
        <v>3205</v>
      </c>
      <c r="B479" s="18">
        <v>23279374</v>
      </c>
      <c r="C479" s="18" t="s">
        <v>7421</v>
      </c>
      <c r="D479" s="18"/>
      <c r="E479" s="19">
        <v>10</v>
      </c>
      <c r="F479" s="18"/>
      <c r="G479" s="18" t="s">
        <v>10909</v>
      </c>
      <c r="H479" s="18" t="s">
        <v>10910</v>
      </c>
      <c r="I479" s="24">
        <v>41276</v>
      </c>
      <c r="J479" s="18" t="s">
        <v>11</v>
      </c>
      <c r="K479" s="18" t="s">
        <v>10839</v>
      </c>
      <c r="L479" s="18" t="s">
        <v>10911</v>
      </c>
      <c r="M479" s="18"/>
      <c r="N479" s="18" t="s">
        <v>10</v>
      </c>
      <c r="O479" s="18" t="s">
        <v>10</v>
      </c>
      <c r="P479" s="18" t="s">
        <v>10912</v>
      </c>
      <c r="Q479" s="18" t="s">
        <v>33</v>
      </c>
      <c r="R479" s="18" t="s">
        <v>7755</v>
      </c>
      <c r="S479" s="1" t="s">
        <v>6243</v>
      </c>
      <c r="T479" s="1">
        <f t="shared" si="24"/>
        <v>306</v>
      </c>
      <c r="U479" s="1">
        <f t="shared" si="25"/>
        <v>306</v>
      </c>
      <c r="V479" s="1">
        <v>306</v>
      </c>
    </row>
    <row r="480" spans="1:39" x14ac:dyDescent="0.2">
      <c r="A480" s="18" t="s">
        <v>2040</v>
      </c>
      <c r="B480" s="18">
        <v>23281178</v>
      </c>
      <c r="C480" s="18" t="s">
        <v>7421</v>
      </c>
      <c r="D480" s="18"/>
      <c r="E480" s="19">
        <v>15002</v>
      </c>
      <c r="F480" s="18">
        <v>1</v>
      </c>
      <c r="G480" s="18" t="s">
        <v>9594</v>
      </c>
      <c r="H480" s="18" t="s">
        <v>9595</v>
      </c>
      <c r="I480" s="24">
        <v>41711</v>
      </c>
      <c r="J480" s="18" t="s">
        <v>11</v>
      </c>
      <c r="K480" s="18" t="s">
        <v>3264</v>
      </c>
      <c r="L480" s="18" t="s">
        <v>9596</v>
      </c>
      <c r="M480" s="18"/>
      <c r="N480" s="18" t="s">
        <v>11</v>
      </c>
      <c r="O480" s="18" t="s">
        <v>11</v>
      </c>
      <c r="P480" s="18" t="s">
        <v>9597</v>
      </c>
      <c r="Q480" s="18" t="s">
        <v>9598</v>
      </c>
      <c r="R480" s="18" t="s">
        <v>9599</v>
      </c>
      <c r="S480" s="1" t="s">
        <v>6243</v>
      </c>
      <c r="T480" s="1">
        <f t="shared" si="24"/>
        <v>891</v>
      </c>
      <c r="U480" s="1">
        <f t="shared" si="25"/>
        <v>402</v>
      </c>
      <c r="V480" s="1">
        <f>214+188</f>
        <v>402</v>
      </c>
      <c r="AH480" s="1">
        <f>SUM(AI480:AT480)</f>
        <v>489</v>
      </c>
      <c r="AI480" s="1">
        <v>489</v>
      </c>
    </row>
    <row r="481" spans="1:44" x14ac:dyDescent="0.2">
      <c r="A481" s="18" t="s">
        <v>1045</v>
      </c>
      <c r="B481" s="18">
        <v>23284291</v>
      </c>
      <c r="C481" s="18" t="s">
        <v>7421</v>
      </c>
      <c r="D481" s="18"/>
      <c r="E481" s="19">
        <v>64</v>
      </c>
      <c r="F481" s="18"/>
      <c r="G481" s="18" t="s">
        <v>792</v>
      </c>
      <c r="H481" s="18" t="s">
        <v>7292</v>
      </c>
      <c r="I481" s="24">
        <v>41263</v>
      </c>
      <c r="J481" s="18" t="s">
        <v>11</v>
      </c>
      <c r="K481" s="18" t="s">
        <v>65</v>
      </c>
      <c r="L481" s="18" t="s">
        <v>9473</v>
      </c>
      <c r="M481" s="18"/>
      <c r="N481" s="18" t="s">
        <v>10</v>
      </c>
      <c r="O481" s="18" t="s">
        <v>10</v>
      </c>
      <c r="P481" s="18" t="s">
        <v>9474</v>
      </c>
      <c r="Q481" s="18" t="s">
        <v>33</v>
      </c>
      <c r="R481" s="18" t="s">
        <v>9084</v>
      </c>
      <c r="S481" s="1" t="s">
        <v>6243</v>
      </c>
      <c r="T481" s="1">
        <f t="shared" si="24"/>
        <v>50047</v>
      </c>
      <c r="U481" s="1">
        <f t="shared" si="25"/>
        <v>50047</v>
      </c>
      <c r="V481" s="1">
        <v>50047</v>
      </c>
    </row>
    <row r="482" spans="1:44" x14ac:dyDescent="0.2">
      <c r="A482" s="18" t="s">
        <v>10011</v>
      </c>
      <c r="B482" s="18">
        <v>23290196</v>
      </c>
      <c r="C482" s="18" t="s">
        <v>7421</v>
      </c>
      <c r="D482" s="18"/>
      <c r="E482" s="19">
        <v>301</v>
      </c>
      <c r="F482" s="18"/>
      <c r="G482" s="18" t="s">
        <v>10012</v>
      </c>
      <c r="H482" s="18" t="s">
        <v>1774</v>
      </c>
      <c r="I482" s="24">
        <v>41276</v>
      </c>
      <c r="J482" s="18" t="s">
        <v>11</v>
      </c>
      <c r="K482" s="18" t="s">
        <v>1128</v>
      </c>
      <c r="L482" s="18" t="s">
        <v>10013</v>
      </c>
      <c r="M482" s="18"/>
      <c r="N482" s="18" t="s">
        <v>10</v>
      </c>
      <c r="O482" s="18" t="s">
        <v>10</v>
      </c>
      <c r="P482" s="18" t="s">
        <v>10014</v>
      </c>
      <c r="Q482" s="18" t="s">
        <v>10015</v>
      </c>
      <c r="R482" s="18" t="s">
        <v>10016</v>
      </c>
      <c r="S482" s="1" t="s">
        <v>6243</v>
      </c>
      <c r="T482" s="1">
        <f t="shared" si="24"/>
        <v>51258</v>
      </c>
      <c r="U482" s="1">
        <f t="shared" si="25"/>
        <v>34549</v>
      </c>
      <c r="V482" s="1">
        <v>34549</v>
      </c>
      <c r="AH482" s="1">
        <f>SUM(AI482:AT482)</f>
        <v>16709</v>
      </c>
      <c r="AI482" s="1">
        <v>16709</v>
      </c>
    </row>
    <row r="483" spans="1:44" x14ac:dyDescent="0.2">
      <c r="A483" s="18" t="s">
        <v>10853</v>
      </c>
      <c r="B483" s="18">
        <v>23291585</v>
      </c>
      <c r="C483" s="18" t="s">
        <v>7421</v>
      </c>
      <c r="D483" s="18"/>
      <c r="E483" s="19">
        <v>20</v>
      </c>
      <c r="F483" s="18"/>
      <c r="G483" s="18" t="s">
        <v>10854</v>
      </c>
      <c r="H483" s="18" t="s">
        <v>10855</v>
      </c>
      <c r="I483" s="24">
        <v>41280</v>
      </c>
      <c r="J483" s="18" t="s">
        <v>11</v>
      </c>
      <c r="K483" s="18" t="s">
        <v>28</v>
      </c>
      <c r="L483" s="18" t="s">
        <v>10856</v>
      </c>
      <c r="M483" s="18"/>
      <c r="N483" s="18" t="s">
        <v>10</v>
      </c>
      <c r="O483" s="18" t="s">
        <v>10</v>
      </c>
      <c r="P483" s="18" t="s">
        <v>10857</v>
      </c>
      <c r="Q483" s="18" t="s">
        <v>10858</v>
      </c>
      <c r="R483" s="18" t="s">
        <v>10859</v>
      </c>
      <c r="S483" s="1" t="s">
        <v>6244</v>
      </c>
      <c r="T483" s="1">
        <f t="shared" si="24"/>
        <v>5695</v>
      </c>
      <c r="U483" s="1">
        <f t="shared" si="25"/>
        <v>3858</v>
      </c>
      <c r="Y483" s="1">
        <f>889+997</f>
        <v>1886</v>
      </c>
      <c r="Z483" s="1">
        <f>1615+357</f>
        <v>1972</v>
      </c>
      <c r="AH483" s="1">
        <f>SUM(AI483:AT483)</f>
        <v>1837</v>
      </c>
      <c r="AL483" s="1">
        <f>889+948</f>
        <v>1837</v>
      </c>
    </row>
    <row r="484" spans="1:44" x14ac:dyDescent="0.2">
      <c r="A484" s="18" t="s">
        <v>7907</v>
      </c>
      <c r="B484" s="18">
        <v>23291587</v>
      </c>
      <c r="C484" s="18" t="s">
        <v>7421</v>
      </c>
      <c r="D484" s="18"/>
      <c r="E484" s="19">
        <v>55</v>
      </c>
      <c r="F484" s="18"/>
      <c r="G484" s="18" t="s">
        <v>7897</v>
      </c>
      <c r="H484" s="18" t="s">
        <v>492</v>
      </c>
      <c r="I484" s="24">
        <v>41280</v>
      </c>
      <c r="J484" s="18" t="s">
        <v>11</v>
      </c>
      <c r="K484" s="18" t="s">
        <v>28</v>
      </c>
      <c r="L484" s="18" t="s">
        <v>7908</v>
      </c>
      <c r="M484" s="18"/>
      <c r="N484" s="18" t="s">
        <v>10</v>
      </c>
      <c r="O484" s="18" t="s">
        <v>10</v>
      </c>
      <c r="P484" s="18" t="s">
        <v>7909</v>
      </c>
      <c r="Q484" s="18" t="s">
        <v>7910</v>
      </c>
      <c r="R484" s="18" t="s">
        <v>7911</v>
      </c>
      <c r="S484" s="1" t="s">
        <v>6244</v>
      </c>
      <c r="T484" s="1">
        <f t="shared" si="24"/>
        <v>5284</v>
      </c>
      <c r="U484" s="1">
        <f t="shared" si="25"/>
        <v>2493</v>
      </c>
      <c r="AC484" s="1">
        <f>435+780+1278</f>
        <v>2493</v>
      </c>
      <c r="AH484" s="1">
        <f>SUM(AI484:AT484)</f>
        <v>2791</v>
      </c>
      <c r="AK484" s="1">
        <f>740+612</f>
        <v>1352</v>
      </c>
      <c r="AP484" s="1">
        <f>355+483+601</f>
        <v>1439</v>
      </c>
    </row>
    <row r="485" spans="1:44" x14ac:dyDescent="0.2">
      <c r="A485" s="18" t="s">
        <v>1504</v>
      </c>
      <c r="B485" s="18">
        <v>23291589</v>
      </c>
      <c r="C485" s="18" t="s">
        <v>7421</v>
      </c>
      <c r="D485" s="18"/>
      <c r="E485" s="19">
        <v>93</v>
      </c>
      <c r="F485" s="18"/>
      <c r="G485" s="18" t="s">
        <v>8289</v>
      </c>
      <c r="H485" s="18" t="s">
        <v>7334</v>
      </c>
      <c r="I485" s="24">
        <v>41280</v>
      </c>
      <c r="J485" s="18" t="s">
        <v>11</v>
      </c>
      <c r="K485" s="18" t="s">
        <v>28</v>
      </c>
      <c r="L485" s="18" t="s">
        <v>8290</v>
      </c>
      <c r="M485" s="18"/>
      <c r="N485" s="18" t="s">
        <v>10</v>
      </c>
      <c r="O485" s="18" t="s">
        <v>10</v>
      </c>
      <c r="P485" s="18" t="s">
        <v>8291</v>
      </c>
      <c r="Q485" s="18" t="s">
        <v>33</v>
      </c>
      <c r="R485" s="18" t="s">
        <v>8292</v>
      </c>
      <c r="S485" s="1" t="s">
        <v>6244</v>
      </c>
      <c r="T485" s="1">
        <f t="shared" si="24"/>
        <v>20020</v>
      </c>
      <c r="U485" s="1">
        <f t="shared" si="25"/>
        <v>20020</v>
      </c>
      <c r="V485" s="1">
        <v>13057</v>
      </c>
      <c r="X485" s="1">
        <f>1883+2542</f>
        <v>4425</v>
      </c>
      <c r="Y485" s="1">
        <v>2538</v>
      </c>
    </row>
    <row r="486" spans="1:44" x14ac:dyDescent="0.2">
      <c r="A486" s="18" t="s">
        <v>2664</v>
      </c>
      <c r="B486" s="18">
        <v>23297363</v>
      </c>
      <c r="C486" s="18" t="s">
        <v>7421</v>
      </c>
      <c r="D486" s="18"/>
      <c r="E486" s="19">
        <v>38623</v>
      </c>
      <c r="F486" s="18"/>
      <c r="G486" s="18" t="s">
        <v>10656</v>
      </c>
      <c r="H486" s="18" t="s">
        <v>10657</v>
      </c>
      <c r="I486" s="24">
        <v>41282</v>
      </c>
      <c r="J486" s="18" t="s">
        <v>11</v>
      </c>
      <c r="K486" s="18" t="s">
        <v>103</v>
      </c>
      <c r="L486" s="18" t="s">
        <v>10658</v>
      </c>
      <c r="M486" s="18"/>
      <c r="N486" s="18" t="s">
        <v>10</v>
      </c>
      <c r="O486" s="18" t="s">
        <v>10</v>
      </c>
      <c r="P486" s="18" t="s">
        <v>10659</v>
      </c>
      <c r="Q486" s="18" t="s">
        <v>10660</v>
      </c>
      <c r="R486" s="18" t="s">
        <v>10661</v>
      </c>
      <c r="S486" s="1" t="s">
        <v>6243</v>
      </c>
      <c r="T486" s="1">
        <f t="shared" si="24"/>
        <v>9723</v>
      </c>
      <c r="U486" s="1">
        <f t="shared" si="25"/>
        <v>5994</v>
      </c>
      <c r="V486" s="1">
        <f>835+5159</f>
        <v>5994</v>
      </c>
      <c r="AH486" s="1">
        <f>SUM(AI486:AT486)</f>
        <v>3729</v>
      </c>
      <c r="AI486" s="1">
        <f>798+2931</f>
        <v>3729</v>
      </c>
    </row>
    <row r="487" spans="1:44" x14ac:dyDescent="0.2">
      <c r="A487" s="18" t="s">
        <v>1307</v>
      </c>
      <c r="B487" s="18">
        <v>23300138</v>
      </c>
      <c r="C487" s="18" t="s">
        <v>7421</v>
      </c>
      <c r="D487" s="18"/>
      <c r="E487" s="19">
        <v>131</v>
      </c>
      <c r="F487" s="18"/>
      <c r="G487" s="18" t="s">
        <v>8453</v>
      </c>
      <c r="H487" s="18" t="s">
        <v>8454</v>
      </c>
      <c r="I487" s="24">
        <v>41281</v>
      </c>
      <c r="J487" s="18" t="s">
        <v>11</v>
      </c>
      <c r="K487" s="18" t="s">
        <v>2051</v>
      </c>
      <c r="L487" s="18" t="s">
        <v>8455</v>
      </c>
      <c r="M487" s="18"/>
      <c r="N487" s="18" t="s">
        <v>10</v>
      </c>
      <c r="O487" s="18" t="s">
        <v>10</v>
      </c>
      <c r="P487" s="18" t="s">
        <v>8456</v>
      </c>
      <c r="Q487" s="18" t="s">
        <v>8457</v>
      </c>
      <c r="R487" s="18" t="s">
        <v>10930</v>
      </c>
      <c r="S487" s="1" t="s">
        <v>6242</v>
      </c>
      <c r="T487" s="1">
        <f t="shared" si="24"/>
        <v>13777</v>
      </c>
      <c r="U487" s="1">
        <f t="shared" si="25"/>
        <v>3451</v>
      </c>
      <c r="X487" s="1">
        <v>3451</v>
      </c>
      <c r="AH487" s="1">
        <f>SUM(AI487:AT487)</f>
        <v>10326</v>
      </c>
      <c r="AK487" s="1">
        <v>10326</v>
      </c>
    </row>
    <row r="488" spans="1:44" x14ac:dyDescent="0.2">
      <c r="A488" s="18" t="s">
        <v>1278</v>
      </c>
      <c r="B488" s="18">
        <v>23300278</v>
      </c>
      <c r="C488" s="18" t="s">
        <v>7421</v>
      </c>
      <c r="D488" s="18"/>
      <c r="E488" s="19">
        <v>202</v>
      </c>
      <c r="F488" s="18"/>
      <c r="G488" s="18" t="s">
        <v>61</v>
      </c>
      <c r="H488" s="18" t="s">
        <v>7396</v>
      </c>
      <c r="I488" s="24">
        <v>41282</v>
      </c>
      <c r="J488" s="18" t="s">
        <v>11</v>
      </c>
      <c r="K488" s="18" t="s">
        <v>90</v>
      </c>
      <c r="L488" s="18" t="s">
        <v>10770</v>
      </c>
      <c r="M488" s="18"/>
      <c r="N488" s="18" t="s">
        <v>10</v>
      </c>
      <c r="O488" s="18" t="s">
        <v>10</v>
      </c>
      <c r="P488" s="18" t="s">
        <v>10771</v>
      </c>
      <c r="Q488" s="18" t="s">
        <v>10772</v>
      </c>
      <c r="R488" s="18" t="s">
        <v>10773</v>
      </c>
      <c r="S488" s="1" t="s">
        <v>6432</v>
      </c>
      <c r="T488" s="1">
        <f t="shared" si="24"/>
        <v>128127</v>
      </c>
      <c r="U488" s="1">
        <f t="shared" si="25"/>
        <v>1616</v>
      </c>
      <c r="Y488" s="1">
        <f>842+774</f>
        <v>1616</v>
      </c>
      <c r="AH488" s="1">
        <f>SUM(AI488:AT488)</f>
        <v>126511</v>
      </c>
      <c r="AI488" s="1">
        <f>8130+38987</f>
        <v>47117</v>
      </c>
      <c r="AK488" s="1">
        <f>16746+16961</f>
        <v>33707</v>
      </c>
      <c r="AL488" s="1">
        <f>23846+2512+3201+16128</f>
        <v>45687</v>
      </c>
    </row>
    <row r="489" spans="1:44" x14ac:dyDescent="0.2">
      <c r="A489" s="18" t="s">
        <v>2040</v>
      </c>
      <c r="B489" s="18">
        <v>23303382</v>
      </c>
      <c r="C489" s="18" t="s">
        <v>7421</v>
      </c>
      <c r="D489" s="18"/>
      <c r="E489" s="19">
        <v>50</v>
      </c>
      <c r="F489" s="18"/>
      <c r="G489" s="18" t="s">
        <v>7549</v>
      </c>
      <c r="H489" s="18" t="s">
        <v>7211</v>
      </c>
      <c r="I489" s="24">
        <v>41284</v>
      </c>
      <c r="J489" s="18" t="s">
        <v>11</v>
      </c>
      <c r="K489" s="18" t="s">
        <v>689</v>
      </c>
      <c r="L489" s="18" t="s">
        <v>7550</v>
      </c>
      <c r="M489" s="18"/>
      <c r="N489" s="18" t="s">
        <v>10</v>
      </c>
      <c r="O489" s="18" t="s">
        <v>10</v>
      </c>
      <c r="P489" s="18" t="s">
        <v>7551</v>
      </c>
      <c r="Q489" s="18" t="s">
        <v>7552</v>
      </c>
      <c r="R489" s="18" t="s">
        <v>7553</v>
      </c>
      <c r="S489" s="1" t="s">
        <v>6242</v>
      </c>
      <c r="T489" s="1">
        <f t="shared" si="24"/>
        <v>8932</v>
      </c>
      <c r="U489" s="1">
        <f t="shared" si="25"/>
        <v>4637</v>
      </c>
      <c r="X489" s="1">
        <v>4637</v>
      </c>
      <c r="AH489" s="1">
        <f>SUM(AI489:AT489)</f>
        <v>4295</v>
      </c>
      <c r="AK489" s="1">
        <v>4295</v>
      </c>
    </row>
    <row r="490" spans="1:44" x14ac:dyDescent="0.2">
      <c r="A490" s="18" t="s">
        <v>7504</v>
      </c>
      <c r="B490" s="18">
        <v>23307926</v>
      </c>
      <c r="C490" s="18" t="s">
        <v>7421</v>
      </c>
      <c r="D490" s="18"/>
      <c r="E490" s="19">
        <v>52</v>
      </c>
      <c r="F490" s="18"/>
      <c r="G490" s="18" t="s">
        <v>7505</v>
      </c>
      <c r="H490" s="18" t="s">
        <v>7499</v>
      </c>
      <c r="I490" s="24">
        <v>41295</v>
      </c>
      <c r="J490" s="18" t="s">
        <v>11</v>
      </c>
      <c r="K490" s="18" t="s">
        <v>103</v>
      </c>
      <c r="L490" s="18" t="s">
        <v>7506</v>
      </c>
      <c r="M490" s="18"/>
      <c r="N490" s="18" t="s">
        <v>11</v>
      </c>
      <c r="O490" s="18" t="s">
        <v>11</v>
      </c>
      <c r="P490" s="18" t="s">
        <v>7507</v>
      </c>
      <c r="Q490" s="18" t="s">
        <v>7508</v>
      </c>
      <c r="R490" s="18" t="s">
        <v>9475</v>
      </c>
      <c r="S490" s="1" t="s">
        <v>6243</v>
      </c>
      <c r="T490" s="1">
        <f t="shared" si="24"/>
        <v>25431</v>
      </c>
      <c r="U490" s="1">
        <f t="shared" si="25"/>
        <v>17091</v>
      </c>
      <c r="V490" s="1">
        <f>3493+13598</f>
        <v>17091</v>
      </c>
      <c r="AH490" s="1">
        <f>SUM(AI490:AT490)</f>
        <v>8340</v>
      </c>
      <c r="AI490" s="1">
        <f>3412+4928</f>
        <v>8340</v>
      </c>
    </row>
    <row r="491" spans="1:44" x14ac:dyDescent="0.2">
      <c r="A491" s="18" t="s">
        <v>3152</v>
      </c>
      <c r="B491" s="18">
        <v>23314186</v>
      </c>
      <c r="C491" s="18" t="s">
        <v>7421</v>
      </c>
      <c r="D491" s="18"/>
      <c r="E491" s="19">
        <v>6</v>
      </c>
      <c r="F491" s="18"/>
      <c r="G491" s="18" t="s">
        <v>8003</v>
      </c>
      <c r="H491" s="18" t="s">
        <v>7216</v>
      </c>
      <c r="I491" s="24">
        <v>41336</v>
      </c>
      <c r="J491" s="18" t="s">
        <v>11</v>
      </c>
      <c r="K491" s="18" t="s">
        <v>103</v>
      </c>
      <c r="L491" s="18" t="s">
        <v>8004</v>
      </c>
      <c r="M491" s="18"/>
      <c r="N491" s="18" t="s">
        <v>10</v>
      </c>
      <c r="O491" s="18" t="s">
        <v>10</v>
      </c>
      <c r="P491" s="18" t="s">
        <v>8005</v>
      </c>
      <c r="Q491" s="18" t="s">
        <v>33</v>
      </c>
      <c r="R491" s="18" t="s">
        <v>10928</v>
      </c>
      <c r="S491" s="1" t="s">
        <v>6244</v>
      </c>
      <c r="T491" s="1">
        <f t="shared" si="24"/>
        <v>11014</v>
      </c>
      <c r="U491" s="1">
        <f t="shared" si="25"/>
        <v>11014</v>
      </c>
      <c r="V491" s="1">
        <v>9849</v>
      </c>
      <c r="W491" s="1">
        <v>894</v>
      </c>
      <c r="AD491" s="1">
        <v>271</v>
      </c>
    </row>
    <row r="492" spans="1:44" x14ac:dyDescent="0.2">
      <c r="A492" s="18" t="s">
        <v>9626</v>
      </c>
      <c r="B492" s="18">
        <v>23319000</v>
      </c>
      <c r="C492" s="18" t="s">
        <v>7421</v>
      </c>
      <c r="D492" s="18"/>
      <c r="E492" s="19">
        <v>485</v>
      </c>
      <c r="F492" s="18"/>
      <c r="G492" s="18" t="s">
        <v>9627</v>
      </c>
      <c r="H492" s="18" t="s">
        <v>7332</v>
      </c>
      <c r="I492" s="24">
        <v>41289</v>
      </c>
      <c r="J492" s="18" t="s">
        <v>11</v>
      </c>
      <c r="K492" s="18" t="s">
        <v>71</v>
      </c>
      <c r="L492" s="18" t="s">
        <v>9628</v>
      </c>
      <c r="M492" s="18"/>
      <c r="N492" s="18" t="s">
        <v>10</v>
      </c>
      <c r="O492" s="18" t="s">
        <v>10</v>
      </c>
      <c r="P492" s="18" t="s">
        <v>9629</v>
      </c>
      <c r="Q492" s="18" t="s">
        <v>33</v>
      </c>
      <c r="R492" s="18" t="s">
        <v>9630</v>
      </c>
      <c r="S492" s="1" t="s">
        <v>6243</v>
      </c>
      <c r="T492" s="1">
        <f t="shared" si="24"/>
        <v>398</v>
      </c>
      <c r="U492" s="1">
        <f t="shared" si="25"/>
        <v>398</v>
      </c>
      <c r="V492" s="1">
        <v>398</v>
      </c>
    </row>
    <row r="493" spans="1:44" x14ac:dyDescent="0.2">
      <c r="A493" s="18" t="s">
        <v>8218</v>
      </c>
      <c r="B493" s="18">
        <v>23319801</v>
      </c>
      <c r="C493" s="18" t="s">
        <v>7421</v>
      </c>
      <c r="D493" s="18"/>
      <c r="E493" s="19">
        <v>15</v>
      </c>
      <c r="F493" s="18"/>
      <c r="G493" s="18" t="s">
        <v>8219</v>
      </c>
      <c r="H493" s="18" t="s">
        <v>8220</v>
      </c>
      <c r="I493" s="24">
        <v>41339</v>
      </c>
      <c r="J493" s="18" t="s">
        <v>11</v>
      </c>
      <c r="K493" s="18" t="s">
        <v>662</v>
      </c>
      <c r="L493" s="18" t="s">
        <v>8221</v>
      </c>
      <c r="M493" s="18"/>
      <c r="N493" s="18" t="s">
        <v>11</v>
      </c>
      <c r="O493" s="18" t="s">
        <v>11</v>
      </c>
      <c r="P493" s="18" t="s">
        <v>8222</v>
      </c>
      <c r="Q493" s="18" t="s">
        <v>8223</v>
      </c>
      <c r="R493" s="18" t="s">
        <v>8224</v>
      </c>
      <c r="S493" s="1" t="s">
        <v>6244</v>
      </c>
      <c r="T493" s="1">
        <f t="shared" si="24"/>
        <v>2052</v>
      </c>
      <c r="U493" s="1">
        <f t="shared" si="25"/>
        <v>536</v>
      </c>
      <c r="AE493" s="1">
        <v>536</v>
      </c>
      <c r="AH493" s="1">
        <f>SUM(AI493:AT493)</f>
        <v>1516</v>
      </c>
      <c r="AR493" s="1">
        <v>1516</v>
      </c>
    </row>
    <row r="494" spans="1:44" x14ac:dyDescent="0.2">
      <c r="A494" s="18" t="s">
        <v>9125</v>
      </c>
      <c r="B494" s="18">
        <v>23321320</v>
      </c>
      <c r="C494" s="18" t="s">
        <v>7421</v>
      </c>
      <c r="D494" s="18"/>
      <c r="E494" s="19">
        <v>10</v>
      </c>
      <c r="F494" s="18"/>
      <c r="G494" s="18" t="s">
        <v>9126</v>
      </c>
      <c r="H494" s="18" t="s">
        <v>9127</v>
      </c>
      <c r="I494" s="24">
        <v>41286</v>
      </c>
      <c r="J494" s="18" t="s">
        <v>11</v>
      </c>
      <c r="K494" s="18" t="s">
        <v>2712</v>
      </c>
      <c r="L494" s="18" t="s">
        <v>9128</v>
      </c>
      <c r="M494" s="18"/>
      <c r="N494" s="18" t="s">
        <v>10</v>
      </c>
      <c r="O494" s="18" t="s">
        <v>10</v>
      </c>
      <c r="P494" s="18" t="s">
        <v>9129</v>
      </c>
      <c r="Q494" s="18" t="s">
        <v>9130</v>
      </c>
      <c r="R494" s="18" t="s">
        <v>9131</v>
      </c>
      <c r="S494" s="1" t="s">
        <v>6242</v>
      </c>
      <c r="T494" s="1">
        <f t="shared" si="24"/>
        <v>6472</v>
      </c>
      <c r="U494" s="1">
        <f t="shared" si="25"/>
        <v>1727</v>
      </c>
      <c r="X494" s="1">
        <f>682+1045</f>
        <v>1727</v>
      </c>
      <c r="AH494" s="1">
        <f>SUM(AI494:AT494)</f>
        <v>4745</v>
      </c>
      <c r="AK494" s="1">
        <f>936+3809</f>
        <v>4745</v>
      </c>
    </row>
    <row r="495" spans="1:44" x14ac:dyDescent="0.2">
      <c r="A495" s="18" t="s">
        <v>7853</v>
      </c>
      <c r="B495" s="18">
        <v>23322567</v>
      </c>
      <c r="C495" s="18" t="s">
        <v>7421</v>
      </c>
      <c r="D495" s="18"/>
      <c r="E495" s="19">
        <v>10</v>
      </c>
      <c r="F495" s="18"/>
      <c r="G495" s="18" t="s">
        <v>7854</v>
      </c>
      <c r="H495" s="18" t="s">
        <v>7248</v>
      </c>
      <c r="I495" s="24">
        <v>41306</v>
      </c>
      <c r="J495" s="18" t="s">
        <v>11</v>
      </c>
      <c r="K495" s="18" t="s">
        <v>3232</v>
      </c>
      <c r="L495" s="18" t="s">
        <v>7855</v>
      </c>
      <c r="M495" s="18"/>
      <c r="N495" s="18" t="s">
        <v>10</v>
      </c>
      <c r="O495" s="18" t="s">
        <v>10</v>
      </c>
      <c r="P495" s="18" t="s">
        <v>7856</v>
      </c>
      <c r="Q495" s="18" t="s">
        <v>33</v>
      </c>
      <c r="R495" s="18" t="s">
        <v>7857</v>
      </c>
      <c r="S495" s="1" t="s">
        <v>6243</v>
      </c>
      <c r="T495" s="1">
        <f t="shared" si="24"/>
        <v>22100</v>
      </c>
      <c r="U495" s="1">
        <f t="shared" si="25"/>
        <v>22100</v>
      </c>
      <c r="V495" s="1">
        <v>22100</v>
      </c>
    </row>
    <row r="496" spans="1:44" x14ac:dyDescent="0.2">
      <c r="A496" s="18" t="s">
        <v>7948</v>
      </c>
      <c r="B496" s="18">
        <v>23326512</v>
      </c>
      <c r="C496" s="18" t="s">
        <v>7421</v>
      </c>
      <c r="D496" s="18"/>
      <c r="E496" s="19">
        <v>131</v>
      </c>
      <c r="F496" s="18"/>
      <c r="G496" s="18" t="s">
        <v>7949</v>
      </c>
      <c r="H496" s="18" t="s">
        <v>7145</v>
      </c>
      <c r="I496" s="24">
        <v>41284</v>
      </c>
      <c r="J496" s="18" t="s">
        <v>11</v>
      </c>
      <c r="K496" s="18" t="s">
        <v>181</v>
      </c>
      <c r="L496" s="18" t="s">
        <v>7950</v>
      </c>
      <c r="M496" s="18"/>
      <c r="N496" s="18" t="s">
        <v>10</v>
      </c>
      <c r="O496" s="18" t="s">
        <v>10</v>
      </c>
      <c r="P496" s="18" t="s">
        <v>7951</v>
      </c>
      <c r="Q496" s="18" t="s">
        <v>7952</v>
      </c>
      <c r="R496" s="18" t="s">
        <v>7953</v>
      </c>
      <c r="S496" s="1" t="s">
        <v>6243</v>
      </c>
      <c r="T496" s="1">
        <f t="shared" si="24"/>
        <v>3140</v>
      </c>
      <c r="U496" s="1">
        <f t="shared" si="25"/>
        <v>1993</v>
      </c>
      <c r="V496" s="1">
        <f>117+843+1033</f>
        <v>1993</v>
      </c>
      <c r="AH496" s="1">
        <f t="shared" ref="AH496:AH507" si="26">SUM(AI496:AT496)</f>
        <v>1147</v>
      </c>
      <c r="AI496" s="1">
        <f>121+1026</f>
        <v>1147</v>
      </c>
    </row>
    <row r="497" spans="1:44" x14ac:dyDescent="0.2">
      <c r="A497" s="18" t="s">
        <v>7520</v>
      </c>
      <c r="B497" s="18">
        <v>23326517</v>
      </c>
      <c r="C497" s="18" t="s">
        <v>7421</v>
      </c>
      <c r="D497" s="18"/>
      <c r="E497" s="19">
        <v>312</v>
      </c>
      <c r="F497" s="18"/>
      <c r="G497" s="18" t="s">
        <v>15</v>
      </c>
      <c r="H497" s="18" t="s">
        <v>7143</v>
      </c>
      <c r="I497" s="24">
        <v>41285</v>
      </c>
      <c r="J497" s="18" t="s">
        <v>11</v>
      </c>
      <c r="K497" s="18" t="s">
        <v>181</v>
      </c>
      <c r="L497" s="18" t="s">
        <v>7521</v>
      </c>
      <c r="M497" s="18"/>
      <c r="N497" s="18" t="s">
        <v>10</v>
      </c>
      <c r="O497" s="18" t="s">
        <v>10</v>
      </c>
      <c r="P497" s="18" t="s">
        <v>7522</v>
      </c>
      <c r="Q497" s="18" t="s">
        <v>7523</v>
      </c>
      <c r="R497" s="18" t="s">
        <v>7524</v>
      </c>
      <c r="S497" s="1" t="s">
        <v>6244</v>
      </c>
      <c r="T497" s="1">
        <f t="shared" si="24"/>
        <v>23995</v>
      </c>
      <c r="U497" s="1">
        <f t="shared" si="25"/>
        <v>19805</v>
      </c>
      <c r="V497" s="1">
        <f>3772+16033</f>
        <v>19805</v>
      </c>
      <c r="AH497" s="1">
        <f t="shared" si="26"/>
        <v>4190</v>
      </c>
      <c r="AK497" s="1">
        <f>264+3926</f>
        <v>4190</v>
      </c>
    </row>
    <row r="498" spans="1:44" x14ac:dyDescent="0.2">
      <c r="A498" s="18" t="s">
        <v>2556</v>
      </c>
      <c r="B498" s="18">
        <v>23328707</v>
      </c>
      <c r="C498" s="18" t="s">
        <v>7421</v>
      </c>
      <c r="D498" s="18"/>
      <c r="E498" s="19">
        <v>141</v>
      </c>
      <c r="F498" s="18"/>
      <c r="G498" s="18" t="s">
        <v>7915</v>
      </c>
      <c r="H498" s="18" t="s">
        <v>7202</v>
      </c>
      <c r="I498" s="24">
        <v>41290</v>
      </c>
      <c r="J498" s="18" t="s">
        <v>11</v>
      </c>
      <c r="K498" s="18" t="s">
        <v>7916</v>
      </c>
      <c r="L498" s="18" t="s">
        <v>7917</v>
      </c>
      <c r="M498" s="18"/>
      <c r="N498" s="18" t="s">
        <v>10</v>
      </c>
      <c r="O498" s="18" t="s">
        <v>10</v>
      </c>
      <c r="P498" s="18" t="s">
        <v>7918</v>
      </c>
      <c r="Q498" s="18" t="s">
        <v>7919</v>
      </c>
      <c r="R498" s="18" t="s">
        <v>739</v>
      </c>
      <c r="S498" s="1" t="s">
        <v>6244</v>
      </c>
      <c r="T498" s="1">
        <f t="shared" si="24"/>
        <v>8454</v>
      </c>
      <c r="U498" s="1">
        <f t="shared" si="25"/>
        <v>6720</v>
      </c>
      <c r="V498" s="1">
        <v>6720</v>
      </c>
      <c r="AH498" s="1">
        <f t="shared" si="26"/>
        <v>1734</v>
      </c>
      <c r="AJ498" s="1">
        <v>1734</v>
      </c>
    </row>
    <row r="499" spans="1:44" x14ac:dyDescent="0.2">
      <c r="A499" s="18" t="s">
        <v>10902</v>
      </c>
      <c r="B499" s="18">
        <v>23337848</v>
      </c>
      <c r="C499" s="18" t="s">
        <v>7421</v>
      </c>
      <c r="D499" s="18"/>
      <c r="E499" s="19">
        <v>20</v>
      </c>
      <c r="F499" s="18"/>
      <c r="G499" s="18" t="s">
        <v>10903</v>
      </c>
      <c r="H499" s="18" t="s">
        <v>10904</v>
      </c>
      <c r="I499" s="24">
        <v>41711</v>
      </c>
      <c r="J499" s="18" t="s">
        <v>11</v>
      </c>
      <c r="K499" s="18" t="s">
        <v>294</v>
      </c>
      <c r="L499" s="18" t="s">
        <v>10905</v>
      </c>
      <c r="M499" s="18"/>
      <c r="N499" s="18" t="s">
        <v>10</v>
      </c>
      <c r="O499" s="18" t="s">
        <v>10</v>
      </c>
      <c r="P499" s="18" t="s">
        <v>10906</v>
      </c>
      <c r="Q499" s="18" t="s">
        <v>10907</v>
      </c>
      <c r="R499" s="18" t="s">
        <v>10908</v>
      </c>
      <c r="S499" s="1" t="s">
        <v>6243</v>
      </c>
      <c r="T499" s="1">
        <f t="shared" si="24"/>
        <v>132</v>
      </c>
      <c r="U499" s="1">
        <f t="shared" si="25"/>
        <v>64</v>
      </c>
      <c r="V499" s="1">
        <v>64</v>
      </c>
      <c r="AH499" s="1">
        <f t="shared" si="26"/>
        <v>68</v>
      </c>
      <c r="AR499" s="1">
        <v>68</v>
      </c>
    </row>
    <row r="500" spans="1:44" x14ac:dyDescent="0.2">
      <c r="A500" s="18" t="s">
        <v>9444</v>
      </c>
      <c r="B500" s="18">
        <v>23341777</v>
      </c>
      <c r="C500" s="18" t="s">
        <v>7421</v>
      </c>
      <c r="D500" s="18"/>
      <c r="E500" s="19">
        <v>49</v>
      </c>
      <c r="F500" s="18"/>
      <c r="G500" s="18" t="s">
        <v>9445</v>
      </c>
      <c r="H500" s="18" t="s">
        <v>1809</v>
      </c>
      <c r="I500" s="24">
        <v>41291</v>
      </c>
      <c r="J500" s="18" t="s">
        <v>11</v>
      </c>
      <c r="K500" s="18" t="s">
        <v>65</v>
      </c>
      <c r="L500" s="18" t="s">
        <v>9446</v>
      </c>
      <c r="M500" s="18"/>
      <c r="N500" s="18" t="s">
        <v>10</v>
      </c>
      <c r="O500" s="18" t="s">
        <v>10</v>
      </c>
      <c r="P500" s="18" t="s">
        <v>9447</v>
      </c>
      <c r="Q500" s="18" t="s">
        <v>9448</v>
      </c>
      <c r="R500" s="18" t="s">
        <v>9449</v>
      </c>
      <c r="S500" s="1" t="s">
        <v>6242</v>
      </c>
      <c r="T500" s="1">
        <f t="shared" ref="T500:T563" si="27">SUM(U500,AH500)</f>
        <v>12559</v>
      </c>
      <c r="U500" s="1">
        <f t="shared" ref="U500:U563" si="28">SUM(V500:AG500)</f>
        <v>3927</v>
      </c>
      <c r="X500" s="1">
        <f>833+3094</f>
        <v>3927</v>
      </c>
      <c r="AH500" s="1">
        <f t="shared" si="26"/>
        <v>8632</v>
      </c>
      <c r="AK500" s="1">
        <f>2223+6409</f>
        <v>8632</v>
      </c>
    </row>
    <row r="501" spans="1:44" x14ac:dyDescent="0.2">
      <c r="A501" s="18" t="s">
        <v>222</v>
      </c>
      <c r="B501" s="18">
        <v>23349225</v>
      </c>
      <c r="C501" s="18" t="s">
        <v>7421</v>
      </c>
      <c r="D501" s="18"/>
      <c r="E501" s="19">
        <v>42</v>
      </c>
      <c r="F501" s="18"/>
      <c r="G501" s="18" t="s">
        <v>6636</v>
      </c>
      <c r="H501" s="18" t="s">
        <v>430</v>
      </c>
      <c r="I501" s="24">
        <v>41298</v>
      </c>
      <c r="J501" s="18" t="s">
        <v>11</v>
      </c>
      <c r="K501" s="18" t="s">
        <v>541</v>
      </c>
      <c r="L501" s="18" t="s">
        <v>9876</v>
      </c>
      <c r="M501" s="18"/>
      <c r="N501" s="18" t="s">
        <v>10</v>
      </c>
      <c r="O501" s="18" t="s">
        <v>10</v>
      </c>
      <c r="P501" s="18" t="s">
        <v>9877</v>
      </c>
      <c r="Q501" s="18" t="s">
        <v>9878</v>
      </c>
      <c r="R501" s="18" t="s">
        <v>9879</v>
      </c>
      <c r="S501" s="1" t="s">
        <v>6242</v>
      </c>
      <c r="T501" s="1">
        <f t="shared" si="27"/>
        <v>4563</v>
      </c>
      <c r="U501" s="1">
        <f t="shared" si="28"/>
        <v>1427</v>
      </c>
      <c r="X501" s="1">
        <f>288+1139</f>
        <v>1427</v>
      </c>
      <c r="AH501" s="1">
        <f t="shared" si="26"/>
        <v>3136</v>
      </c>
      <c r="AK501" s="1">
        <f>831+2305</f>
        <v>3136</v>
      </c>
    </row>
    <row r="502" spans="1:44" x14ac:dyDescent="0.2">
      <c r="A502" s="18" t="s">
        <v>9508</v>
      </c>
      <c r="B502" s="18">
        <v>23349640</v>
      </c>
      <c r="C502" s="18" t="s">
        <v>7421</v>
      </c>
      <c r="D502" s="18"/>
      <c r="E502" s="19">
        <v>50</v>
      </c>
      <c r="F502" s="18"/>
      <c r="G502" s="18" t="s">
        <v>9509</v>
      </c>
      <c r="H502" s="18" t="s">
        <v>6820</v>
      </c>
      <c r="I502" s="24">
        <v>41291</v>
      </c>
      <c r="J502" s="18" t="s">
        <v>11</v>
      </c>
      <c r="K502" s="18" t="s">
        <v>65</v>
      </c>
      <c r="L502" s="18" t="s">
        <v>9510</v>
      </c>
      <c r="M502" s="18"/>
      <c r="N502" s="18" t="s">
        <v>10</v>
      </c>
      <c r="O502" s="18" t="s">
        <v>10</v>
      </c>
      <c r="P502" s="18" t="s">
        <v>9511</v>
      </c>
      <c r="Q502" s="18" t="s">
        <v>9512</v>
      </c>
      <c r="R502" s="18" t="s">
        <v>9513</v>
      </c>
      <c r="S502" s="1" t="s">
        <v>6243</v>
      </c>
      <c r="T502" s="1">
        <f t="shared" si="27"/>
        <v>8829</v>
      </c>
      <c r="U502" s="1">
        <f t="shared" si="28"/>
        <v>4988</v>
      </c>
      <c r="V502" s="1">
        <f>4044+275+269+198+202</f>
        <v>4988</v>
      </c>
      <c r="AH502" s="1">
        <f t="shared" si="26"/>
        <v>3841</v>
      </c>
      <c r="AI502" s="1">
        <f>202+367+577+99+2596</f>
        <v>3841</v>
      </c>
    </row>
    <row r="503" spans="1:44" x14ac:dyDescent="0.2">
      <c r="A503" s="18" t="s">
        <v>8422</v>
      </c>
      <c r="B503" s="18">
        <v>23350875</v>
      </c>
      <c r="C503" s="18" t="s">
        <v>7421</v>
      </c>
      <c r="D503" s="18"/>
      <c r="E503" s="19">
        <v>31</v>
      </c>
      <c r="F503" s="18"/>
      <c r="G503" s="18" t="s">
        <v>145</v>
      </c>
      <c r="H503" s="18" t="s">
        <v>146</v>
      </c>
      <c r="I503" s="24">
        <v>41300</v>
      </c>
      <c r="J503" s="18" t="s">
        <v>11</v>
      </c>
      <c r="K503" s="18" t="s">
        <v>2930</v>
      </c>
      <c r="L503" s="18" t="s">
        <v>8423</v>
      </c>
      <c r="M503" s="18"/>
      <c r="N503" s="18" t="s">
        <v>10</v>
      </c>
      <c r="O503" s="18" t="s">
        <v>10</v>
      </c>
      <c r="P503" s="18" t="s">
        <v>8424</v>
      </c>
      <c r="Q503" s="18" t="s">
        <v>8425</v>
      </c>
      <c r="R503" s="18" t="s">
        <v>8426</v>
      </c>
      <c r="S503" s="1" t="s">
        <v>6243</v>
      </c>
      <c r="T503" s="1">
        <f t="shared" si="27"/>
        <v>4571</v>
      </c>
      <c r="U503" s="1">
        <f t="shared" si="28"/>
        <v>1355</v>
      </c>
      <c r="V503" s="1">
        <f>882+473</f>
        <v>1355</v>
      </c>
      <c r="AH503" s="1">
        <f t="shared" si="26"/>
        <v>3216</v>
      </c>
      <c r="AI503" s="1">
        <f>1436+1780</f>
        <v>3216</v>
      </c>
    </row>
    <row r="504" spans="1:44" x14ac:dyDescent="0.2">
      <c r="A504" s="18" t="s">
        <v>8201</v>
      </c>
      <c r="B504" s="18">
        <v>23354978</v>
      </c>
      <c r="C504" s="18" t="s">
        <v>7421</v>
      </c>
      <c r="D504" s="18"/>
      <c r="E504" s="19">
        <v>25</v>
      </c>
      <c r="F504" s="18"/>
      <c r="G504" s="18" t="s">
        <v>8202</v>
      </c>
      <c r="H504" s="18" t="s">
        <v>6675</v>
      </c>
      <c r="I504" s="24">
        <v>41299</v>
      </c>
      <c r="J504" s="18" t="s">
        <v>11</v>
      </c>
      <c r="K504" s="18" t="s">
        <v>595</v>
      </c>
      <c r="L504" s="18" t="s">
        <v>8203</v>
      </c>
      <c r="M504" s="18"/>
      <c r="N504" s="18" t="s">
        <v>11</v>
      </c>
      <c r="O504" s="18" t="s">
        <v>11</v>
      </c>
      <c r="P504" s="18" t="s">
        <v>8204</v>
      </c>
      <c r="Q504" s="18" t="s">
        <v>8205</v>
      </c>
      <c r="R504" s="18" t="s">
        <v>8206</v>
      </c>
      <c r="S504" s="1" t="s">
        <v>6243</v>
      </c>
      <c r="T504" s="1">
        <f t="shared" si="27"/>
        <v>1467</v>
      </c>
      <c r="U504" s="1">
        <f t="shared" si="28"/>
        <v>1001</v>
      </c>
      <c r="V504" s="1">
        <f>477+524</f>
        <v>1001</v>
      </c>
      <c r="AH504" s="1">
        <f t="shared" si="26"/>
        <v>466</v>
      </c>
      <c r="AI504" s="1">
        <f>203+263</f>
        <v>466</v>
      </c>
    </row>
    <row r="505" spans="1:44" x14ac:dyDescent="0.2">
      <c r="A505" s="18" t="s">
        <v>1116</v>
      </c>
      <c r="B505" s="18">
        <v>23358156</v>
      </c>
      <c r="C505" s="18" t="s">
        <v>7421</v>
      </c>
      <c r="D505" s="18"/>
      <c r="E505" s="19">
        <v>100</v>
      </c>
      <c r="F505" s="18"/>
      <c r="G505" s="18" t="s">
        <v>8389</v>
      </c>
      <c r="H505" s="18" t="s">
        <v>8390</v>
      </c>
      <c r="I505" s="24">
        <v>41303</v>
      </c>
      <c r="J505" s="18" t="s">
        <v>11</v>
      </c>
      <c r="K505" s="18" t="s">
        <v>71</v>
      </c>
      <c r="L505" s="18" t="s">
        <v>8391</v>
      </c>
      <c r="M505" s="18"/>
      <c r="N505" s="18" t="s">
        <v>10</v>
      </c>
      <c r="O505" s="18" t="s">
        <v>10</v>
      </c>
      <c r="P505" s="18" t="s">
        <v>8392</v>
      </c>
      <c r="Q505" s="18" t="s">
        <v>8393</v>
      </c>
      <c r="R505" s="18" t="s">
        <v>8394</v>
      </c>
      <c r="S505" s="1" t="s">
        <v>6243</v>
      </c>
      <c r="T505" s="1">
        <f t="shared" si="27"/>
        <v>17989</v>
      </c>
      <c r="U505" s="1">
        <f t="shared" si="28"/>
        <v>12441</v>
      </c>
      <c r="V505" s="1">
        <v>12441</v>
      </c>
      <c r="AH505" s="1">
        <f t="shared" si="26"/>
        <v>5548</v>
      </c>
      <c r="AI505" s="1">
        <v>5548</v>
      </c>
    </row>
    <row r="506" spans="1:44" x14ac:dyDescent="0.2">
      <c r="A506" s="18" t="s">
        <v>10409</v>
      </c>
      <c r="B506" s="18">
        <v>23358160</v>
      </c>
      <c r="C506" s="18" t="s">
        <v>7421</v>
      </c>
      <c r="D506" s="18"/>
      <c r="E506" s="19">
        <v>98</v>
      </c>
      <c r="F506" s="18"/>
      <c r="G506" s="18" t="s">
        <v>74</v>
      </c>
      <c r="H506" s="18" t="s">
        <v>2545</v>
      </c>
      <c r="I506" s="24">
        <v>41303</v>
      </c>
      <c r="J506" s="18" t="s">
        <v>11</v>
      </c>
      <c r="K506" s="18" t="s">
        <v>71</v>
      </c>
      <c r="L506" s="18" t="s">
        <v>10410</v>
      </c>
      <c r="M506" s="18"/>
      <c r="N506" s="18" t="s">
        <v>10</v>
      </c>
      <c r="O506" s="18" t="s">
        <v>10</v>
      </c>
      <c r="P506" s="18" t="s">
        <v>10411</v>
      </c>
      <c r="Q506" s="18" t="s">
        <v>10412</v>
      </c>
      <c r="R506" s="18" t="s">
        <v>10413</v>
      </c>
      <c r="S506" s="1" t="s">
        <v>6243</v>
      </c>
      <c r="T506" s="1">
        <f t="shared" si="27"/>
        <v>9795</v>
      </c>
      <c r="U506" s="1">
        <f t="shared" si="28"/>
        <v>1770</v>
      </c>
      <c r="V506" s="1">
        <f>888+882</f>
        <v>1770</v>
      </c>
      <c r="AH506" s="1">
        <f t="shared" si="26"/>
        <v>8025</v>
      </c>
      <c r="AI506" s="1">
        <f>2539+5486</f>
        <v>8025</v>
      </c>
    </row>
    <row r="507" spans="1:44" x14ac:dyDescent="0.2">
      <c r="A507" s="18" t="s">
        <v>1451</v>
      </c>
      <c r="B507" s="18">
        <v>23359319</v>
      </c>
      <c r="C507" s="18" t="s">
        <v>7421</v>
      </c>
      <c r="D507" s="18"/>
      <c r="E507" s="19">
        <v>36</v>
      </c>
      <c r="F507" s="18"/>
      <c r="G507" s="18" t="s">
        <v>10185</v>
      </c>
      <c r="H507" s="18" t="s">
        <v>7309</v>
      </c>
      <c r="I507" s="24">
        <v>41652</v>
      </c>
      <c r="J507" s="18" t="s">
        <v>11</v>
      </c>
      <c r="K507" s="18" t="s">
        <v>10178</v>
      </c>
      <c r="L507" s="18" t="s">
        <v>10186</v>
      </c>
      <c r="M507" s="18"/>
      <c r="N507" s="18" t="s">
        <v>11</v>
      </c>
      <c r="O507" s="18" t="s">
        <v>11</v>
      </c>
      <c r="P507" s="18" t="s">
        <v>10187</v>
      </c>
      <c r="Q507" s="18" t="s">
        <v>10188</v>
      </c>
      <c r="R507" s="18" t="s">
        <v>10189</v>
      </c>
      <c r="S507" s="1" t="s">
        <v>6243</v>
      </c>
      <c r="T507" s="1">
        <f t="shared" si="27"/>
        <v>4914</v>
      </c>
      <c r="U507" s="1">
        <f t="shared" si="28"/>
        <v>3192</v>
      </c>
      <c r="V507" s="1">
        <v>3192</v>
      </c>
      <c r="AH507" s="1">
        <f t="shared" si="26"/>
        <v>1722</v>
      </c>
      <c r="AI507" s="1">
        <v>1722</v>
      </c>
    </row>
    <row r="508" spans="1:44" x14ac:dyDescent="0.2">
      <c r="A508" s="18" t="s">
        <v>1515</v>
      </c>
      <c r="B508" s="18">
        <v>23362303</v>
      </c>
      <c r="C508" s="18" t="s">
        <v>7421</v>
      </c>
      <c r="D508" s="18"/>
      <c r="E508" s="19">
        <v>585</v>
      </c>
      <c r="F508" s="18"/>
      <c r="G508" s="18" t="s">
        <v>8856</v>
      </c>
      <c r="H508" s="18" t="s">
        <v>7202</v>
      </c>
      <c r="I508" s="24">
        <v>41303</v>
      </c>
      <c r="J508" s="18" t="s">
        <v>11</v>
      </c>
      <c r="K508" s="18" t="s">
        <v>551</v>
      </c>
      <c r="L508" s="18" t="s">
        <v>8857</v>
      </c>
      <c r="M508" s="18"/>
      <c r="N508" s="18" t="s">
        <v>10</v>
      </c>
      <c r="O508" s="18" t="s">
        <v>10</v>
      </c>
      <c r="P508" s="18" t="s">
        <v>8858</v>
      </c>
      <c r="Q508" s="18" t="s">
        <v>33</v>
      </c>
      <c r="R508" s="18" t="s">
        <v>868</v>
      </c>
      <c r="S508" s="1" t="s">
        <v>6243</v>
      </c>
      <c r="T508" s="1">
        <f t="shared" si="27"/>
        <v>8961</v>
      </c>
      <c r="U508" s="1">
        <f t="shared" si="28"/>
        <v>8961</v>
      </c>
      <c r="V508" s="1">
        <v>8961</v>
      </c>
    </row>
    <row r="509" spans="1:44" x14ac:dyDescent="0.2">
      <c r="A509" s="18" t="s">
        <v>227</v>
      </c>
      <c r="B509" s="18">
        <v>23364009</v>
      </c>
      <c r="C509" s="18" t="s">
        <v>7421</v>
      </c>
      <c r="D509" s="18"/>
      <c r="E509" s="19">
        <v>11</v>
      </c>
      <c r="F509" s="18"/>
      <c r="G509" s="18" t="s">
        <v>2110</v>
      </c>
      <c r="H509" s="18" t="s">
        <v>7207</v>
      </c>
      <c r="I509" s="24">
        <v>41304</v>
      </c>
      <c r="J509" s="18" t="s">
        <v>11</v>
      </c>
      <c r="K509" s="18" t="s">
        <v>2107</v>
      </c>
      <c r="L509" s="18" t="s">
        <v>7562</v>
      </c>
      <c r="M509" s="18"/>
      <c r="N509" s="18" t="s">
        <v>10</v>
      </c>
      <c r="O509" s="18" t="s">
        <v>10</v>
      </c>
      <c r="P509" s="18" t="s">
        <v>7563</v>
      </c>
      <c r="Q509" s="18" t="s">
        <v>7564</v>
      </c>
      <c r="R509" s="18" t="s">
        <v>3100</v>
      </c>
      <c r="S509" s="1" t="s">
        <v>6242</v>
      </c>
      <c r="T509" s="1">
        <f t="shared" si="27"/>
        <v>23199</v>
      </c>
      <c r="U509" s="1">
        <f t="shared" si="28"/>
        <v>5010</v>
      </c>
      <c r="X509" s="1">
        <f>1420+3590</f>
        <v>5010</v>
      </c>
      <c r="AH509" s="1">
        <f>SUM(AI509:AT509)</f>
        <v>18189</v>
      </c>
      <c r="AK509" s="1">
        <f>4896+13293</f>
        <v>18189</v>
      </c>
    </row>
    <row r="510" spans="1:44" x14ac:dyDescent="0.2">
      <c r="A510" s="18" t="s">
        <v>1435</v>
      </c>
      <c r="B510" s="18">
        <v>23364394</v>
      </c>
      <c r="C510" s="18" t="s">
        <v>7421</v>
      </c>
      <c r="D510" s="18"/>
      <c r="E510" s="19">
        <v>90</v>
      </c>
      <c r="F510" s="18"/>
      <c r="G510" s="18" t="s">
        <v>165</v>
      </c>
      <c r="H510" s="18" t="s">
        <v>7192</v>
      </c>
      <c r="I510" s="24">
        <v>41305</v>
      </c>
      <c r="J510" s="18" t="s">
        <v>11</v>
      </c>
      <c r="K510" s="18" t="s">
        <v>689</v>
      </c>
      <c r="L510" s="18" t="s">
        <v>8508</v>
      </c>
      <c r="M510" s="18"/>
      <c r="N510" s="18" t="s">
        <v>10</v>
      </c>
      <c r="O510" s="18" t="s">
        <v>10</v>
      </c>
      <c r="P510" s="18" t="s">
        <v>8509</v>
      </c>
      <c r="Q510" s="18" t="s">
        <v>8510</v>
      </c>
      <c r="R510" s="18" t="s">
        <v>8511</v>
      </c>
      <c r="S510" s="1" t="s">
        <v>6242</v>
      </c>
      <c r="T510" s="1">
        <f t="shared" si="27"/>
        <v>13742</v>
      </c>
      <c r="U510" s="1">
        <f t="shared" si="28"/>
        <v>5714</v>
      </c>
      <c r="X510" s="1">
        <f>2123+3591</f>
        <v>5714</v>
      </c>
      <c r="AH510" s="1">
        <f>SUM(AI510:AT510)</f>
        <v>8028</v>
      </c>
      <c r="AK510" s="1">
        <f>3052+4976</f>
        <v>8028</v>
      </c>
    </row>
    <row r="511" spans="1:44" x14ac:dyDescent="0.2">
      <c r="A511" s="18" t="s">
        <v>7920</v>
      </c>
      <c r="B511" s="18">
        <v>23371916</v>
      </c>
      <c r="C511" s="18" t="s">
        <v>7421</v>
      </c>
      <c r="D511" s="18"/>
      <c r="E511" s="19">
        <v>199</v>
      </c>
      <c r="F511" s="18"/>
      <c r="G511" s="18" t="s">
        <v>7921</v>
      </c>
      <c r="H511" s="18" t="s">
        <v>7215</v>
      </c>
      <c r="I511" s="24">
        <v>41305</v>
      </c>
      <c r="J511" s="18" t="s">
        <v>11</v>
      </c>
      <c r="K511" s="18" t="s">
        <v>2891</v>
      </c>
      <c r="L511" s="18" t="s">
        <v>7922</v>
      </c>
      <c r="M511" s="18"/>
      <c r="N511" s="18" t="s">
        <v>10</v>
      </c>
      <c r="O511" s="18" t="s">
        <v>10</v>
      </c>
      <c r="P511" s="18" t="s">
        <v>7923</v>
      </c>
      <c r="Q511" s="18" t="s">
        <v>7924</v>
      </c>
      <c r="R511" s="18" t="s">
        <v>7925</v>
      </c>
      <c r="S511" s="1" t="s">
        <v>6242</v>
      </c>
      <c r="T511" s="1">
        <f t="shared" si="27"/>
        <v>10282</v>
      </c>
      <c r="U511" s="1">
        <f t="shared" si="28"/>
        <v>1452</v>
      </c>
      <c r="X511" s="1">
        <v>1452</v>
      </c>
      <c r="AH511" s="1">
        <f>SUM(AI511:AT511)</f>
        <v>8830</v>
      </c>
      <c r="AK511" s="1">
        <v>8830</v>
      </c>
    </row>
    <row r="512" spans="1:44" x14ac:dyDescent="0.2">
      <c r="A512" s="18" t="s">
        <v>2628</v>
      </c>
      <c r="B512" s="18">
        <v>23372041</v>
      </c>
      <c r="C512" s="18" t="s">
        <v>7421</v>
      </c>
      <c r="D512" s="18"/>
      <c r="E512" s="19">
        <v>27</v>
      </c>
      <c r="F512" s="18"/>
      <c r="G512" s="18" t="s">
        <v>9514</v>
      </c>
      <c r="H512" s="18" t="s">
        <v>8460</v>
      </c>
      <c r="I512" s="24">
        <v>41304</v>
      </c>
      <c r="J512" s="18" t="s">
        <v>11</v>
      </c>
      <c r="K512" s="18" t="s">
        <v>103</v>
      </c>
      <c r="L512" s="18" t="s">
        <v>9515</v>
      </c>
      <c r="M512" s="18"/>
      <c r="N512" s="18" t="s">
        <v>10</v>
      </c>
      <c r="O512" s="18" t="s">
        <v>10</v>
      </c>
      <c r="P512" s="18" t="s">
        <v>9516</v>
      </c>
      <c r="Q512" s="18" t="s">
        <v>9517</v>
      </c>
      <c r="R512" s="18" t="s">
        <v>9518</v>
      </c>
      <c r="S512" s="1" t="s">
        <v>6243</v>
      </c>
      <c r="T512" s="1">
        <f t="shared" si="27"/>
        <v>71893</v>
      </c>
      <c r="U512" s="1">
        <f t="shared" si="28"/>
        <v>33533</v>
      </c>
      <c r="V512" s="1">
        <v>33533</v>
      </c>
      <c r="AH512" s="1">
        <f>SUM(AI512:AT512)</f>
        <v>38360</v>
      </c>
      <c r="AI512" s="1">
        <v>38360</v>
      </c>
    </row>
    <row r="513" spans="1:44" x14ac:dyDescent="0.2">
      <c r="A513" s="18" t="s">
        <v>9166</v>
      </c>
      <c r="B513" s="18">
        <v>23372042</v>
      </c>
      <c r="C513" s="18" t="s">
        <v>7421</v>
      </c>
      <c r="D513" s="18">
        <v>1</v>
      </c>
      <c r="E513" s="19">
        <v>0</v>
      </c>
      <c r="F513" s="18"/>
      <c r="G513" s="18" t="s">
        <v>9167</v>
      </c>
      <c r="H513" s="18" t="s">
        <v>9168</v>
      </c>
      <c r="I513" s="24">
        <v>41315</v>
      </c>
      <c r="J513" s="18" t="s">
        <v>11</v>
      </c>
      <c r="K513" s="18" t="s">
        <v>103</v>
      </c>
      <c r="L513" s="18" t="s">
        <v>9169</v>
      </c>
      <c r="M513" s="18"/>
      <c r="N513" s="18" t="s">
        <v>10</v>
      </c>
      <c r="O513" s="18" t="s">
        <v>10</v>
      </c>
      <c r="P513" s="18" t="s">
        <v>9170</v>
      </c>
      <c r="Q513" s="18" t="s">
        <v>33</v>
      </c>
      <c r="R513" s="18" t="s">
        <v>9171</v>
      </c>
      <c r="S513" s="1" t="s">
        <v>6244</v>
      </c>
      <c r="T513" s="1">
        <f t="shared" si="27"/>
        <v>1195</v>
      </c>
      <c r="U513" s="1">
        <f t="shared" si="28"/>
        <v>1195</v>
      </c>
      <c r="AD513" s="1">
        <f>430+765</f>
        <v>1195</v>
      </c>
    </row>
    <row r="514" spans="1:44" x14ac:dyDescent="0.2">
      <c r="A514" s="18" t="s">
        <v>9157</v>
      </c>
      <c r="B514" s="18">
        <v>23372753</v>
      </c>
      <c r="C514" s="18" t="s">
        <v>7421</v>
      </c>
      <c r="D514" s="18"/>
      <c r="E514" s="19">
        <v>11</v>
      </c>
      <c r="F514" s="18"/>
      <c r="G514" s="18" t="s">
        <v>9158</v>
      </c>
      <c r="H514" s="18" t="s">
        <v>7172</v>
      </c>
      <c r="I514" s="24">
        <v>41297</v>
      </c>
      <c r="J514" s="18" t="s">
        <v>10</v>
      </c>
      <c r="K514" s="18" t="s">
        <v>181</v>
      </c>
      <c r="L514" s="18" t="s">
        <v>9159</v>
      </c>
      <c r="M514" s="18"/>
      <c r="N514" s="18" t="s">
        <v>10</v>
      </c>
      <c r="O514" s="18" t="s">
        <v>10</v>
      </c>
      <c r="P514" s="18" t="s">
        <v>9160</v>
      </c>
      <c r="Q514" s="18" t="s">
        <v>33</v>
      </c>
      <c r="R514" s="18" t="s">
        <v>9161</v>
      </c>
      <c r="S514" s="1" t="s">
        <v>6243</v>
      </c>
      <c r="T514" s="1">
        <f t="shared" si="27"/>
        <v>292</v>
      </c>
      <c r="U514" s="1">
        <f t="shared" si="28"/>
        <v>292</v>
      </c>
      <c r="V514" s="1">
        <v>292</v>
      </c>
    </row>
    <row r="515" spans="1:44" x14ac:dyDescent="0.2">
      <c r="A515" s="18" t="s">
        <v>9659</v>
      </c>
      <c r="B515" s="18">
        <v>23374588</v>
      </c>
      <c r="C515" s="18" t="s">
        <v>7421</v>
      </c>
      <c r="D515" s="18"/>
      <c r="E515" s="19">
        <v>49</v>
      </c>
      <c r="F515" s="18"/>
      <c r="G515" s="18" t="s">
        <v>10283</v>
      </c>
      <c r="H515" s="18" t="s">
        <v>10284</v>
      </c>
      <c r="I515" s="24">
        <v>41303</v>
      </c>
      <c r="J515" s="18" t="s">
        <v>11</v>
      </c>
      <c r="K515" s="18" t="s">
        <v>1485</v>
      </c>
      <c r="L515" s="18" t="s">
        <v>10285</v>
      </c>
      <c r="M515" s="18"/>
      <c r="N515" s="18" t="s">
        <v>10</v>
      </c>
      <c r="O515" s="18" t="s">
        <v>10</v>
      </c>
      <c r="P515" s="18" t="s">
        <v>10286</v>
      </c>
      <c r="Q515" s="18" t="s">
        <v>10287</v>
      </c>
      <c r="R515" s="18" t="s">
        <v>10288</v>
      </c>
      <c r="S515" s="1" t="s">
        <v>6243</v>
      </c>
      <c r="T515" s="1">
        <f t="shared" si="27"/>
        <v>337</v>
      </c>
      <c r="U515" s="1">
        <f t="shared" si="28"/>
        <v>169</v>
      </c>
      <c r="V515" s="1">
        <f>92+77</f>
        <v>169</v>
      </c>
      <c r="AH515" s="1">
        <f>SUM(AI515:AT515)</f>
        <v>168</v>
      </c>
      <c r="AI515" s="1">
        <f>94+74</f>
        <v>168</v>
      </c>
    </row>
    <row r="516" spans="1:44" x14ac:dyDescent="0.2">
      <c r="A516" s="18" t="s">
        <v>1889</v>
      </c>
      <c r="B516" s="18">
        <v>23376709</v>
      </c>
      <c r="C516" s="18" t="s">
        <v>7421</v>
      </c>
      <c r="D516" s="18"/>
      <c r="E516" s="19">
        <v>39</v>
      </c>
      <c r="F516" s="18"/>
      <c r="G516" s="18" t="s">
        <v>10815</v>
      </c>
      <c r="H516" s="18" t="s">
        <v>10816</v>
      </c>
      <c r="I516" s="24">
        <v>41305</v>
      </c>
      <c r="J516" s="18" t="s">
        <v>11</v>
      </c>
      <c r="K516" s="18" t="s">
        <v>8764</v>
      </c>
      <c r="L516" s="18" t="s">
        <v>10817</v>
      </c>
      <c r="M516" s="18"/>
      <c r="N516" s="18" t="s">
        <v>11</v>
      </c>
      <c r="O516" s="18" t="s">
        <v>11</v>
      </c>
      <c r="P516" s="18" t="s">
        <v>10818</v>
      </c>
      <c r="Q516" s="18" t="s">
        <v>10819</v>
      </c>
      <c r="R516" s="18" t="s">
        <v>10820</v>
      </c>
      <c r="S516" s="1" t="s">
        <v>6244</v>
      </c>
      <c r="T516" s="1">
        <f t="shared" si="27"/>
        <v>723</v>
      </c>
      <c r="U516" s="1">
        <f t="shared" si="28"/>
        <v>346</v>
      </c>
      <c r="AD516" s="1">
        <v>346</v>
      </c>
      <c r="AH516" s="1">
        <f>SUM(AI516:AT516)</f>
        <v>377</v>
      </c>
      <c r="AQ516" s="1">
        <v>377</v>
      </c>
    </row>
    <row r="517" spans="1:44" x14ac:dyDescent="0.2">
      <c r="A517" s="18" t="s">
        <v>1406</v>
      </c>
      <c r="B517" s="18">
        <v>23377640</v>
      </c>
      <c r="C517" s="18" t="s">
        <v>7421</v>
      </c>
      <c r="D517" s="18"/>
      <c r="E517" s="19">
        <v>416</v>
      </c>
      <c r="F517" s="18"/>
      <c r="G517" s="18" t="s">
        <v>7702</v>
      </c>
      <c r="H517" s="18" t="s">
        <v>7703</v>
      </c>
      <c r="I517" s="24">
        <v>41306</v>
      </c>
      <c r="J517" s="18" t="s">
        <v>11</v>
      </c>
      <c r="K517" s="18" t="s">
        <v>879</v>
      </c>
      <c r="L517" s="18" t="s">
        <v>7708</v>
      </c>
      <c r="M517" s="18"/>
      <c r="N517" s="18" t="s">
        <v>10</v>
      </c>
      <c r="O517" s="18" t="s">
        <v>10</v>
      </c>
      <c r="P517" s="18" t="s">
        <v>7709</v>
      </c>
      <c r="Q517" s="18" t="s">
        <v>33</v>
      </c>
      <c r="R517" s="18" t="s">
        <v>7710</v>
      </c>
      <c r="S517" s="1" t="s">
        <v>6243</v>
      </c>
      <c r="T517" s="1">
        <f t="shared" si="27"/>
        <v>2256</v>
      </c>
      <c r="U517" s="1">
        <f t="shared" si="28"/>
        <v>2256</v>
      </c>
      <c r="V517" s="1">
        <v>2256</v>
      </c>
    </row>
    <row r="518" spans="1:44" x14ac:dyDescent="0.2">
      <c r="A518" s="18" t="s">
        <v>9583</v>
      </c>
      <c r="B518" s="18">
        <v>23378610</v>
      </c>
      <c r="C518" s="18" t="s">
        <v>7421</v>
      </c>
      <c r="D518" s="18"/>
      <c r="E518" s="19">
        <v>7</v>
      </c>
      <c r="F518" s="18"/>
      <c r="G518" s="18" t="s">
        <v>9584</v>
      </c>
      <c r="H518" s="18" t="s">
        <v>7202</v>
      </c>
      <c r="I518" s="24">
        <v>41306</v>
      </c>
      <c r="J518" s="18" t="s">
        <v>11</v>
      </c>
      <c r="K518" s="18" t="s">
        <v>90</v>
      </c>
      <c r="L518" s="18" t="s">
        <v>9585</v>
      </c>
      <c r="M518" s="18"/>
      <c r="N518" s="18" t="s">
        <v>10</v>
      </c>
      <c r="O518" s="18" t="s">
        <v>10</v>
      </c>
      <c r="P518" s="18" t="s">
        <v>9586</v>
      </c>
      <c r="Q518" s="18" t="s">
        <v>9587</v>
      </c>
      <c r="R518" s="18" t="s">
        <v>9588</v>
      </c>
      <c r="S518" s="1" t="s">
        <v>6243</v>
      </c>
      <c r="T518" s="1">
        <f t="shared" si="27"/>
        <v>1343</v>
      </c>
      <c r="U518" s="1">
        <f t="shared" si="28"/>
        <v>1004</v>
      </c>
      <c r="V518" s="1">
        <v>1004</v>
      </c>
      <c r="AH518" s="1">
        <f>SUM(AI518:AT518)</f>
        <v>339</v>
      </c>
      <c r="AI518" s="1">
        <v>339</v>
      </c>
    </row>
    <row r="519" spans="1:44" x14ac:dyDescent="0.2">
      <c r="A519" s="18" t="s">
        <v>1672</v>
      </c>
      <c r="B519" s="18">
        <v>23381795</v>
      </c>
      <c r="C519" s="18" t="s">
        <v>7421</v>
      </c>
      <c r="D519" s="18"/>
      <c r="E519" s="19">
        <v>19</v>
      </c>
      <c r="F519" s="18"/>
      <c r="G519" s="18" t="s">
        <v>9611</v>
      </c>
      <c r="H519" s="18" t="s">
        <v>7202</v>
      </c>
      <c r="I519" s="24">
        <v>41309</v>
      </c>
      <c r="J519" s="18" t="s">
        <v>11</v>
      </c>
      <c r="K519" s="18" t="s">
        <v>293</v>
      </c>
      <c r="L519" s="18" t="s">
        <v>9612</v>
      </c>
      <c r="M519" s="18"/>
      <c r="N519" s="18" t="s">
        <v>10</v>
      </c>
      <c r="O519" s="18" t="s">
        <v>10</v>
      </c>
      <c r="P519" s="18" t="s">
        <v>9613</v>
      </c>
      <c r="Q519" s="18" t="s">
        <v>9614</v>
      </c>
      <c r="R519" s="18" t="s">
        <v>8345</v>
      </c>
      <c r="S519" s="1" t="s">
        <v>6243</v>
      </c>
      <c r="T519" s="1">
        <f t="shared" si="27"/>
        <v>6674</v>
      </c>
      <c r="U519" s="1">
        <f t="shared" si="28"/>
        <v>3444</v>
      </c>
      <c r="V519" s="1">
        <v>3444</v>
      </c>
      <c r="AH519" s="1">
        <f>SUM(AI519:AT519)</f>
        <v>3230</v>
      </c>
      <c r="AI519" s="1">
        <v>3230</v>
      </c>
    </row>
    <row r="520" spans="1:44" x14ac:dyDescent="0.2">
      <c r="A520" s="18" t="s">
        <v>8384</v>
      </c>
      <c r="B520" s="18">
        <v>23381943</v>
      </c>
      <c r="C520" s="18" t="s">
        <v>7421</v>
      </c>
      <c r="D520" s="18"/>
      <c r="E520" s="19">
        <v>531</v>
      </c>
      <c r="F520" s="18"/>
      <c r="G520" s="18" t="s">
        <v>8385</v>
      </c>
      <c r="H520" s="18" t="s">
        <v>8386</v>
      </c>
      <c r="I520" s="24">
        <v>41289</v>
      </c>
      <c r="J520" s="18" t="s">
        <v>11</v>
      </c>
      <c r="K520" s="18" t="s">
        <v>549</v>
      </c>
      <c r="L520" s="18" t="s">
        <v>8387</v>
      </c>
      <c r="M520" s="18"/>
      <c r="N520" s="18" t="s">
        <v>10</v>
      </c>
      <c r="O520" s="18" t="s">
        <v>10</v>
      </c>
      <c r="P520" s="18" t="s">
        <v>8388</v>
      </c>
      <c r="Q520" s="18" t="s">
        <v>33</v>
      </c>
      <c r="R520" s="18" t="s">
        <v>10932</v>
      </c>
      <c r="S520" s="1" t="s">
        <v>6243</v>
      </c>
      <c r="T520" s="1">
        <f t="shared" si="27"/>
        <v>2100</v>
      </c>
      <c r="U520" s="1">
        <f t="shared" si="28"/>
        <v>2100</v>
      </c>
      <c r="V520" s="1">
        <v>2100</v>
      </c>
    </row>
    <row r="521" spans="1:44" x14ac:dyDescent="0.2">
      <c r="A521" s="18" t="s">
        <v>2021</v>
      </c>
      <c r="B521" s="18">
        <v>23382691</v>
      </c>
      <c r="C521" s="18" t="s">
        <v>7421</v>
      </c>
      <c r="D521" s="18"/>
      <c r="E521" s="19">
        <v>6582</v>
      </c>
      <c r="F521" s="18">
        <v>1</v>
      </c>
      <c r="G521" s="18" t="s">
        <v>9754</v>
      </c>
      <c r="H521" s="18" t="s">
        <v>7276</v>
      </c>
      <c r="I521" s="24">
        <v>41305</v>
      </c>
      <c r="J521" s="18" t="s">
        <v>11</v>
      </c>
      <c r="K521" s="18" t="s">
        <v>65</v>
      </c>
      <c r="L521" s="18" t="s">
        <v>9755</v>
      </c>
      <c r="M521" s="18"/>
      <c r="N521" s="18" t="s">
        <v>10</v>
      </c>
      <c r="O521" s="18" t="s">
        <v>10</v>
      </c>
      <c r="P521" s="18" t="s">
        <v>9756</v>
      </c>
      <c r="Q521" s="18" t="s">
        <v>33</v>
      </c>
      <c r="R521" s="18" t="s">
        <v>667</v>
      </c>
      <c r="S521" s="1" t="s">
        <v>6243</v>
      </c>
      <c r="T521" s="1">
        <f t="shared" si="27"/>
        <v>1848</v>
      </c>
      <c r="U521" s="1">
        <f t="shared" si="28"/>
        <v>1848</v>
      </c>
      <c r="V521" s="1">
        <v>1848</v>
      </c>
    </row>
    <row r="522" spans="1:44" x14ac:dyDescent="0.2">
      <c r="A522" s="18" t="s">
        <v>2530</v>
      </c>
      <c r="B522" s="18">
        <v>23382809</v>
      </c>
      <c r="C522" s="18" t="s">
        <v>7421</v>
      </c>
      <c r="D522" s="18"/>
      <c r="E522" s="19">
        <v>25</v>
      </c>
      <c r="F522" s="18"/>
      <c r="G522" s="18" t="s">
        <v>10444</v>
      </c>
      <c r="H522" s="18" t="s">
        <v>10445</v>
      </c>
      <c r="I522" s="24">
        <v>41303</v>
      </c>
      <c r="J522" s="18" t="s">
        <v>11</v>
      </c>
      <c r="K522" s="18" t="s">
        <v>181</v>
      </c>
      <c r="L522" s="18" t="s">
        <v>10446</v>
      </c>
      <c r="M522" s="18"/>
      <c r="N522" s="18" t="s">
        <v>10</v>
      </c>
      <c r="O522" s="18" t="s">
        <v>10</v>
      </c>
      <c r="P522" s="18" t="s">
        <v>10447</v>
      </c>
      <c r="Q522" s="18" t="s">
        <v>33</v>
      </c>
      <c r="R522" s="18" t="s">
        <v>10443</v>
      </c>
      <c r="S522" s="1" t="s">
        <v>6243</v>
      </c>
      <c r="T522" s="1">
        <f t="shared" si="27"/>
        <v>4500</v>
      </c>
      <c r="U522" s="1">
        <f t="shared" si="28"/>
        <v>4500</v>
      </c>
      <c r="V522" s="1">
        <f>1774+2726</f>
        <v>4500</v>
      </c>
    </row>
    <row r="523" spans="1:44" x14ac:dyDescent="0.2">
      <c r="A523" s="18" t="s">
        <v>10827</v>
      </c>
      <c r="B523" s="18">
        <v>23388002</v>
      </c>
      <c r="C523" s="18" t="s">
        <v>7421</v>
      </c>
      <c r="D523" s="18"/>
      <c r="E523" s="19">
        <v>247585</v>
      </c>
      <c r="F523" s="18"/>
      <c r="G523" s="18" t="s">
        <v>10828</v>
      </c>
      <c r="H523" s="18" t="s">
        <v>10829</v>
      </c>
      <c r="I523" s="24">
        <v>41312</v>
      </c>
      <c r="J523" s="18" t="s">
        <v>11</v>
      </c>
      <c r="K523" s="18" t="s">
        <v>157</v>
      </c>
      <c r="L523" s="18" t="s">
        <v>10830</v>
      </c>
      <c r="M523" s="18"/>
      <c r="N523" s="18" t="s">
        <v>10</v>
      </c>
      <c r="O523" s="18" t="s">
        <v>10</v>
      </c>
      <c r="P523" s="18" t="s">
        <v>10831</v>
      </c>
      <c r="Q523" s="18" t="s">
        <v>10832</v>
      </c>
      <c r="R523" s="18" t="s">
        <v>10833</v>
      </c>
      <c r="S523" s="1" t="s">
        <v>6244</v>
      </c>
      <c r="T523" s="1">
        <f t="shared" si="27"/>
        <v>12985</v>
      </c>
      <c r="U523" s="1">
        <f t="shared" si="28"/>
        <v>6942</v>
      </c>
      <c r="V523" s="1">
        <v>6942</v>
      </c>
      <c r="AH523" s="1">
        <f>SUM(AI523:AT523)</f>
        <v>6043</v>
      </c>
      <c r="AI523" s="1">
        <v>745</v>
      </c>
      <c r="AJ523" s="1">
        <v>2497</v>
      </c>
      <c r="AK523" s="1">
        <v>774</v>
      </c>
      <c r="AM523" s="1">
        <v>2027</v>
      </c>
    </row>
    <row r="524" spans="1:44" x14ac:dyDescent="0.2">
      <c r="A524" s="18" t="s">
        <v>1518</v>
      </c>
      <c r="B524" s="18">
        <v>23392654</v>
      </c>
      <c r="C524" s="18" t="s">
        <v>7421</v>
      </c>
      <c r="D524" s="18"/>
      <c r="E524" s="19">
        <v>32</v>
      </c>
      <c r="F524" s="18"/>
      <c r="G524" s="18" t="s">
        <v>10045</v>
      </c>
      <c r="H524" s="18" t="s">
        <v>10040</v>
      </c>
      <c r="I524" s="24">
        <v>41312</v>
      </c>
      <c r="J524" s="18" t="s">
        <v>11</v>
      </c>
      <c r="K524" s="18" t="s">
        <v>551</v>
      </c>
      <c r="L524" s="18" t="s">
        <v>10046</v>
      </c>
      <c r="M524" s="18"/>
      <c r="N524" s="18" t="s">
        <v>10</v>
      </c>
      <c r="O524" s="18" t="s">
        <v>10</v>
      </c>
      <c r="P524" s="18" t="s">
        <v>10047</v>
      </c>
      <c r="Q524" s="18" t="s">
        <v>10048</v>
      </c>
      <c r="R524" s="18" t="s">
        <v>10049</v>
      </c>
      <c r="S524" s="1" t="s">
        <v>6244</v>
      </c>
      <c r="T524" s="1">
        <f t="shared" si="27"/>
        <v>1792</v>
      </c>
      <c r="U524" s="1">
        <f t="shared" si="28"/>
        <v>565</v>
      </c>
      <c r="V524" s="1">
        <v>565</v>
      </c>
      <c r="AH524" s="1">
        <f>SUM(AI524:AT524)</f>
        <v>1227</v>
      </c>
      <c r="AI524" s="1">
        <v>710</v>
      </c>
      <c r="AJ524" s="1">
        <v>237</v>
      </c>
      <c r="AM524" s="1">
        <v>276</v>
      </c>
      <c r="AR524" s="1">
        <v>4</v>
      </c>
    </row>
    <row r="525" spans="1:44" x14ac:dyDescent="0.2">
      <c r="A525" s="18" t="s">
        <v>2681</v>
      </c>
      <c r="B525" s="18">
        <v>23393555</v>
      </c>
      <c r="C525" s="18" t="s">
        <v>7421</v>
      </c>
      <c r="D525" s="18"/>
      <c r="E525" s="19">
        <v>72</v>
      </c>
      <c r="F525" s="18"/>
      <c r="G525" s="18" t="s">
        <v>10352</v>
      </c>
      <c r="H525" s="18" t="s">
        <v>188</v>
      </c>
      <c r="I525" s="24">
        <v>41310</v>
      </c>
      <c r="J525" s="18" t="s">
        <v>11</v>
      </c>
      <c r="K525" s="18" t="s">
        <v>181</v>
      </c>
      <c r="L525" s="18" t="s">
        <v>10353</v>
      </c>
      <c r="M525" s="18"/>
      <c r="N525" s="18" t="s">
        <v>10</v>
      </c>
      <c r="O525" s="18" t="s">
        <v>10</v>
      </c>
      <c r="P525" s="18" t="s">
        <v>10354</v>
      </c>
      <c r="Q525" s="18" t="s">
        <v>33</v>
      </c>
      <c r="R525" s="18" t="s">
        <v>10355</v>
      </c>
      <c r="S525" s="1" t="s">
        <v>6243</v>
      </c>
      <c r="T525" s="1">
        <f t="shared" si="27"/>
        <v>19411</v>
      </c>
      <c r="U525" s="1">
        <f t="shared" si="28"/>
        <v>19411</v>
      </c>
      <c r="V525" s="1">
        <v>19411</v>
      </c>
    </row>
    <row r="526" spans="1:44" x14ac:dyDescent="0.2">
      <c r="A526" s="18" t="s">
        <v>8494</v>
      </c>
      <c r="B526" s="18">
        <v>23394302</v>
      </c>
      <c r="C526" s="18" t="s">
        <v>7421</v>
      </c>
      <c r="D526" s="18"/>
      <c r="E526" s="19">
        <v>179</v>
      </c>
      <c r="F526" s="18"/>
      <c r="G526" s="18" t="s">
        <v>6617</v>
      </c>
      <c r="H526" s="18" t="s">
        <v>7163</v>
      </c>
      <c r="I526" s="24">
        <v>41313</v>
      </c>
      <c r="J526" s="18" t="s">
        <v>10</v>
      </c>
      <c r="K526" s="18" t="s">
        <v>220</v>
      </c>
      <c r="L526" s="18" t="s">
        <v>8495</v>
      </c>
      <c r="M526" s="18"/>
      <c r="N526" s="18" t="s">
        <v>10</v>
      </c>
      <c r="O526" s="18" t="s">
        <v>10</v>
      </c>
      <c r="P526" s="18" t="s">
        <v>8496</v>
      </c>
      <c r="Q526" s="18" t="s">
        <v>33</v>
      </c>
      <c r="R526" s="18" t="s">
        <v>8497</v>
      </c>
      <c r="S526" s="1" t="s">
        <v>6243</v>
      </c>
      <c r="T526" s="1">
        <f t="shared" si="27"/>
        <v>4518</v>
      </c>
      <c r="U526" s="1">
        <f t="shared" si="28"/>
        <v>4518</v>
      </c>
      <c r="V526" s="1">
        <f>4518</f>
        <v>4518</v>
      </c>
    </row>
    <row r="527" spans="1:44" x14ac:dyDescent="0.2">
      <c r="A527" s="18" t="s">
        <v>9694</v>
      </c>
      <c r="B527" s="18">
        <v>23396134</v>
      </c>
      <c r="C527" s="18" t="s">
        <v>7421</v>
      </c>
      <c r="D527" s="18"/>
      <c r="E527" s="19">
        <v>29</v>
      </c>
      <c r="F527" s="18"/>
      <c r="G527" s="18" t="s">
        <v>1739</v>
      </c>
      <c r="H527" s="18" t="s">
        <v>1102</v>
      </c>
      <c r="I527" s="24">
        <v>41315</v>
      </c>
      <c r="J527" s="18" t="s">
        <v>11</v>
      </c>
      <c r="K527" s="18" t="s">
        <v>28</v>
      </c>
      <c r="L527" s="18" t="s">
        <v>9695</v>
      </c>
      <c r="M527" s="18"/>
      <c r="N527" s="18" t="s">
        <v>10</v>
      </c>
      <c r="O527" s="18" t="s">
        <v>10</v>
      </c>
      <c r="P527" s="18" t="s">
        <v>9696</v>
      </c>
      <c r="Q527" s="18" t="s">
        <v>33</v>
      </c>
      <c r="R527" s="18" t="s">
        <v>9522</v>
      </c>
      <c r="S527" s="1" t="s">
        <v>6244</v>
      </c>
      <c r="T527" s="1">
        <f t="shared" si="27"/>
        <v>45758</v>
      </c>
      <c r="U527" s="1">
        <f t="shared" si="28"/>
        <v>45758</v>
      </c>
      <c r="V527" s="1">
        <v>37382</v>
      </c>
      <c r="X527" s="1">
        <f>578+3417+2273</f>
        <v>6268</v>
      </c>
      <c r="Y527" s="1">
        <v>2108</v>
      </c>
    </row>
    <row r="528" spans="1:44" x14ac:dyDescent="0.2">
      <c r="A528" s="18" t="s">
        <v>9571</v>
      </c>
      <c r="B528" s="18">
        <v>23400010</v>
      </c>
      <c r="C528" s="18" t="s">
        <v>7421</v>
      </c>
      <c r="D528" s="18"/>
      <c r="E528" s="19">
        <v>211</v>
      </c>
      <c r="F528" s="18"/>
      <c r="G528" s="18" t="s">
        <v>9572</v>
      </c>
      <c r="H528" s="18" t="s">
        <v>9573</v>
      </c>
      <c r="I528" s="24">
        <v>41317</v>
      </c>
      <c r="J528" s="18" t="s">
        <v>11</v>
      </c>
      <c r="K528" s="18" t="s">
        <v>113</v>
      </c>
      <c r="L528" s="18" t="s">
        <v>9574</v>
      </c>
      <c r="M528" s="18"/>
      <c r="N528" s="18" t="s">
        <v>10</v>
      </c>
      <c r="O528" s="18" t="s">
        <v>10</v>
      </c>
      <c r="P528" s="18" t="s">
        <v>9575</v>
      </c>
      <c r="Q528" s="18" t="s">
        <v>33</v>
      </c>
      <c r="R528" s="18" t="s">
        <v>9576</v>
      </c>
      <c r="S528" s="1" t="s">
        <v>6244</v>
      </c>
      <c r="T528" s="1">
        <f t="shared" si="27"/>
        <v>767</v>
      </c>
      <c r="U528" s="1">
        <f t="shared" si="28"/>
        <v>767</v>
      </c>
      <c r="V528" s="1">
        <v>425</v>
      </c>
      <c r="W528" s="1">
        <v>342</v>
      </c>
    </row>
    <row r="529" spans="1:44" x14ac:dyDescent="0.2">
      <c r="A529" s="18" t="s">
        <v>8481</v>
      </c>
      <c r="B529" s="18">
        <v>23401653</v>
      </c>
      <c r="C529" s="18" t="s">
        <v>7421</v>
      </c>
      <c r="D529" s="18"/>
      <c r="E529" s="19">
        <v>16</v>
      </c>
      <c r="F529" s="18"/>
      <c r="G529" s="18" t="s">
        <v>2470</v>
      </c>
      <c r="H529" s="18" t="s">
        <v>7248</v>
      </c>
      <c r="I529" s="24">
        <v>41277</v>
      </c>
      <c r="J529" s="18" t="s">
        <v>11</v>
      </c>
      <c r="K529" s="18" t="s">
        <v>1633</v>
      </c>
      <c r="L529" s="18" t="s">
        <v>8482</v>
      </c>
      <c r="M529" s="18"/>
      <c r="N529" s="18" t="s">
        <v>10</v>
      </c>
      <c r="O529" s="18" t="s">
        <v>10</v>
      </c>
      <c r="P529" s="18" t="s">
        <v>8483</v>
      </c>
      <c r="Q529" s="18" t="s">
        <v>8484</v>
      </c>
      <c r="R529" s="18" t="s">
        <v>8278</v>
      </c>
      <c r="S529" s="1" t="s">
        <v>6244</v>
      </c>
      <c r="T529" s="1">
        <f t="shared" si="27"/>
        <v>9383</v>
      </c>
      <c r="U529" s="1">
        <f t="shared" si="28"/>
        <v>2023</v>
      </c>
      <c r="V529" s="1">
        <v>2023</v>
      </c>
      <c r="AH529" s="1">
        <f>SUM(AI529:AT529)</f>
        <v>7360</v>
      </c>
      <c r="AK529" s="1">
        <f>929+2281+2008</f>
        <v>5218</v>
      </c>
      <c r="AL529" s="1">
        <v>2142</v>
      </c>
    </row>
    <row r="530" spans="1:44" x14ac:dyDescent="0.2">
      <c r="A530" s="18" t="s">
        <v>10480</v>
      </c>
      <c r="B530" s="18">
        <v>23406172</v>
      </c>
      <c r="C530" s="18" t="s">
        <v>7421</v>
      </c>
      <c r="D530" s="18"/>
      <c r="E530" s="19">
        <v>4</v>
      </c>
      <c r="F530" s="18"/>
      <c r="G530" s="18" t="s">
        <v>10481</v>
      </c>
      <c r="H530" s="18" t="s">
        <v>1142</v>
      </c>
      <c r="I530" s="24">
        <v>41319</v>
      </c>
      <c r="J530" s="18" t="s">
        <v>11</v>
      </c>
      <c r="K530" s="18" t="s">
        <v>9107</v>
      </c>
      <c r="L530" s="18" t="s">
        <v>10482</v>
      </c>
      <c r="M530" s="18"/>
      <c r="N530" s="18" t="s">
        <v>10</v>
      </c>
      <c r="O530" s="18" t="s">
        <v>10</v>
      </c>
      <c r="P530" s="18" t="s">
        <v>10483</v>
      </c>
      <c r="Q530" s="18" t="s">
        <v>10484</v>
      </c>
      <c r="R530" s="18" t="s">
        <v>10485</v>
      </c>
      <c r="S530" s="1" t="s">
        <v>6248</v>
      </c>
      <c r="T530" s="1">
        <f t="shared" si="27"/>
        <v>2075</v>
      </c>
      <c r="U530" s="1">
        <f t="shared" si="28"/>
        <v>1117</v>
      </c>
      <c r="AE530" s="1">
        <v>1117</v>
      </c>
      <c r="AH530" s="1">
        <f>SUM(AI530:AT530)</f>
        <v>958</v>
      </c>
      <c r="AJ530" s="1">
        <v>213</v>
      </c>
      <c r="AR530" s="1">
        <v>745</v>
      </c>
    </row>
    <row r="531" spans="1:44" x14ac:dyDescent="0.2">
      <c r="A531" s="18" t="s">
        <v>1298</v>
      </c>
      <c r="B531" s="18">
        <v>23406873</v>
      </c>
      <c r="C531" s="18" t="s">
        <v>7421</v>
      </c>
      <c r="D531" s="18"/>
      <c r="E531" s="19">
        <v>133</v>
      </c>
      <c r="F531" s="18"/>
      <c r="G531" s="18" t="s">
        <v>9686</v>
      </c>
      <c r="H531" s="18" t="s">
        <v>1102</v>
      </c>
      <c r="I531" s="24">
        <v>41333</v>
      </c>
      <c r="J531" s="18" t="s">
        <v>11</v>
      </c>
      <c r="K531" s="18" t="s">
        <v>103</v>
      </c>
      <c r="L531" s="18" t="s">
        <v>9690</v>
      </c>
      <c r="M531" s="18"/>
      <c r="N531" s="18" t="s">
        <v>10</v>
      </c>
      <c r="O531" s="18" t="s">
        <v>10</v>
      </c>
      <c r="P531" s="18" t="s">
        <v>9691</v>
      </c>
      <c r="Q531" s="18" t="s">
        <v>9692</v>
      </c>
      <c r="R531" s="18" t="s">
        <v>9693</v>
      </c>
      <c r="S531" s="1" t="s">
        <v>6242</v>
      </c>
      <c r="T531" s="1">
        <f t="shared" si="27"/>
        <v>7436</v>
      </c>
      <c r="U531" s="1">
        <f t="shared" si="28"/>
        <v>1625</v>
      </c>
      <c r="X531" s="1">
        <f>665+960</f>
        <v>1625</v>
      </c>
      <c r="AH531" s="1">
        <f>SUM(AI531:AT531)</f>
        <v>5811</v>
      </c>
      <c r="AK531" s="1">
        <f>2128+3683</f>
        <v>5811</v>
      </c>
    </row>
    <row r="532" spans="1:44" x14ac:dyDescent="0.2">
      <c r="A532" s="18" t="s">
        <v>8458</v>
      </c>
      <c r="B532" s="18">
        <v>23408455</v>
      </c>
      <c r="C532" s="18" t="s">
        <v>7421</v>
      </c>
      <c r="D532" s="18"/>
      <c r="E532" s="19">
        <v>12</v>
      </c>
      <c r="F532" s="18"/>
      <c r="G532" s="18" t="s">
        <v>8459</v>
      </c>
      <c r="H532" s="18" t="s">
        <v>8460</v>
      </c>
      <c r="I532" s="24">
        <v>41319</v>
      </c>
      <c r="J532" s="18" t="s">
        <v>11</v>
      </c>
      <c r="K532" s="18" t="s">
        <v>686</v>
      </c>
      <c r="L532" s="18" t="s">
        <v>8461</v>
      </c>
      <c r="M532" s="18"/>
      <c r="N532" s="18" t="s">
        <v>10</v>
      </c>
      <c r="O532" s="18" t="s">
        <v>10</v>
      </c>
      <c r="P532" s="18" t="s">
        <v>8462</v>
      </c>
      <c r="Q532" s="18" t="s">
        <v>8463</v>
      </c>
      <c r="R532" s="18" t="s">
        <v>8464</v>
      </c>
      <c r="S532" s="1" t="s">
        <v>6242</v>
      </c>
      <c r="T532" s="1">
        <f t="shared" si="27"/>
        <v>5430</v>
      </c>
      <c r="U532" s="1">
        <f t="shared" si="28"/>
        <v>939</v>
      </c>
      <c r="X532" s="1">
        <v>939</v>
      </c>
      <c r="AH532" s="1">
        <f>SUM(AI532:AT532)</f>
        <v>4491</v>
      </c>
      <c r="AK532" s="1">
        <v>4491</v>
      </c>
    </row>
    <row r="533" spans="1:44" x14ac:dyDescent="0.2">
      <c r="A533" s="18" t="s">
        <v>10668</v>
      </c>
      <c r="B533" s="18">
        <v>23408906</v>
      </c>
      <c r="C533" s="18" t="s">
        <v>7421</v>
      </c>
      <c r="D533" s="18"/>
      <c r="E533" s="19">
        <v>112</v>
      </c>
      <c r="F533" s="18"/>
      <c r="G533" s="18" t="s">
        <v>10663</v>
      </c>
      <c r="H533" s="18" t="s">
        <v>2563</v>
      </c>
      <c r="I533" s="24">
        <v>41312</v>
      </c>
      <c r="J533" s="18" t="s">
        <v>11</v>
      </c>
      <c r="K533" s="18" t="s">
        <v>65</v>
      </c>
      <c r="L533" s="18" t="s">
        <v>10669</v>
      </c>
      <c r="M533" s="18"/>
      <c r="N533" s="18" t="s">
        <v>11</v>
      </c>
      <c r="O533" s="18" t="s">
        <v>10</v>
      </c>
      <c r="P533" s="18" t="s">
        <v>10670</v>
      </c>
      <c r="Q533" s="18" t="s">
        <v>33</v>
      </c>
      <c r="R533" s="18" t="s">
        <v>10671</v>
      </c>
      <c r="S533" s="1" t="s">
        <v>6243</v>
      </c>
      <c r="T533" s="1">
        <f t="shared" si="27"/>
        <v>26420</v>
      </c>
      <c r="U533" s="1">
        <f t="shared" si="28"/>
        <v>26420</v>
      </c>
      <c r="V533" s="1">
        <f>12289+9019+433+592+2170+1917</f>
        <v>26420</v>
      </c>
    </row>
    <row r="534" spans="1:44" x14ac:dyDescent="0.2">
      <c r="A534" s="18" t="s">
        <v>9647</v>
      </c>
      <c r="B534" s="18">
        <v>23412934</v>
      </c>
      <c r="C534" s="18" t="s">
        <v>7421</v>
      </c>
      <c r="D534" s="18"/>
      <c r="E534" s="19">
        <v>125</v>
      </c>
      <c r="F534" s="18"/>
      <c r="G534" s="18" t="s">
        <v>9648</v>
      </c>
      <c r="H534" s="18" t="s">
        <v>9649</v>
      </c>
      <c r="I534" s="24">
        <v>41318</v>
      </c>
      <c r="J534" s="18" t="s">
        <v>11</v>
      </c>
      <c r="K534" s="18" t="s">
        <v>1559</v>
      </c>
      <c r="L534" s="18" t="s">
        <v>9650</v>
      </c>
      <c r="M534" s="18"/>
      <c r="N534" s="18" t="s">
        <v>10</v>
      </c>
      <c r="O534" s="18" t="s">
        <v>10</v>
      </c>
      <c r="P534" s="18" t="s">
        <v>9651</v>
      </c>
      <c r="Q534" s="18" t="s">
        <v>33</v>
      </c>
      <c r="R534" s="18" t="s">
        <v>9652</v>
      </c>
      <c r="S534" s="1" t="s">
        <v>6243</v>
      </c>
      <c r="T534" s="1">
        <f t="shared" si="27"/>
        <v>284</v>
      </c>
      <c r="U534" s="1">
        <f t="shared" si="28"/>
        <v>284</v>
      </c>
      <c r="V534" s="1">
        <v>284</v>
      </c>
    </row>
    <row r="535" spans="1:44" x14ac:dyDescent="0.2">
      <c r="A535" s="18" t="s">
        <v>2556</v>
      </c>
      <c r="B535" s="18">
        <v>23417110</v>
      </c>
      <c r="C535" s="18" t="s">
        <v>7421</v>
      </c>
      <c r="D535" s="18"/>
      <c r="E535" s="19">
        <v>28</v>
      </c>
      <c r="F535" s="18"/>
      <c r="G535" s="18" t="s">
        <v>7912</v>
      </c>
      <c r="H535" s="18" t="s">
        <v>7202</v>
      </c>
      <c r="I535" s="24">
        <v>41321</v>
      </c>
      <c r="J535" s="18" t="s">
        <v>11</v>
      </c>
      <c r="K535" s="18" t="s">
        <v>595</v>
      </c>
      <c r="L535" s="18" t="s">
        <v>7913</v>
      </c>
      <c r="M535" s="18"/>
      <c r="N535" s="18" t="s">
        <v>10</v>
      </c>
      <c r="O535" s="18" t="s">
        <v>10</v>
      </c>
      <c r="P535" s="18" t="s">
        <v>7914</v>
      </c>
      <c r="Q535" s="18" t="s">
        <v>33</v>
      </c>
      <c r="R535" s="18" t="s">
        <v>2176</v>
      </c>
      <c r="S535" s="1" t="s">
        <v>6243</v>
      </c>
      <c r="T535" s="1">
        <f t="shared" si="27"/>
        <v>6728</v>
      </c>
      <c r="U535" s="1">
        <f t="shared" si="28"/>
        <v>6728</v>
      </c>
      <c r="V535" s="1">
        <v>6728</v>
      </c>
    </row>
    <row r="536" spans="1:44" x14ac:dyDescent="0.2">
      <c r="A536" s="18" t="s">
        <v>7615</v>
      </c>
      <c r="B536" s="18">
        <v>23419831</v>
      </c>
      <c r="C536" s="18" t="s">
        <v>7421</v>
      </c>
      <c r="D536" s="18"/>
      <c r="E536" s="19">
        <v>12</v>
      </c>
      <c r="F536" s="18"/>
      <c r="G536" s="18" t="s">
        <v>8118</v>
      </c>
      <c r="H536" s="18" t="s">
        <v>8119</v>
      </c>
      <c r="I536" s="24">
        <v>41324</v>
      </c>
      <c r="J536" s="18" t="s">
        <v>11</v>
      </c>
      <c r="K536" s="18" t="s">
        <v>71</v>
      </c>
      <c r="L536" s="18" t="s">
        <v>8120</v>
      </c>
      <c r="M536" s="18"/>
      <c r="N536" s="18" t="s">
        <v>10</v>
      </c>
      <c r="O536" s="18" t="s">
        <v>10</v>
      </c>
      <c r="P536" s="18" t="s">
        <v>8121</v>
      </c>
      <c r="Q536" s="18" t="s">
        <v>33</v>
      </c>
      <c r="R536" s="18" t="s">
        <v>8122</v>
      </c>
      <c r="S536" s="1" t="s">
        <v>6243</v>
      </c>
      <c r="T536" s="1">
        <f t="shared" si="27"/>
        <v>555</v>
      </c>
      <c r="U536" s="1">
        <f t="shared" si="28"/>
        <v>555</v>
      </c>
      <c r="V536" s="1">
        <v>555</v>
      </c>
    </row>
    <row r="537" spans="1:44" x14ac:dyDescent="0.2">
      <c r="A537" s="18" t="s">
        <v>10530</v>
      </c>
      <c r="B537" s="18">
        <v>23420232</v>
      </c>
      <c r="C537" s="18" t="s">
        <v>7421</v>
      </c>
      <c r="D537" s="18"/>
      <c r="E537" s="19">
        <v>9</v>
      </c>
      <c r="F537" s="18"/>
      <c r="G537" s="18" t="s">
        <v>10531</v>
      </c>
      <c r="H537" s="18" t="s">
        <v>10532</v>
      </c>
      <c r="I537" s="24">
        <v>41324</v>
      </c>
      <c r="J537" s="18" t="s">
        <v>11</v>
      </c>
      <c r="K537" s="18" t="s">
        <v>10533</v>
      </c>
      <c r="L537" s="18" t="s">
        <v>10534</v>
      </c>
      <c r="M537" s="18"/>
      <c r="N537" s="18" t="s">
        <v>10</v>
      </c>
      <c r="O537" s="18" t="s">
        <v>10</v>
      </c>
      <c r="P537" s="18" t="s">
        <v>10535</v>
      </c>
      <c r="Q537" s="18" t="s">
        <v>10536</v>
      </c>
      <c r="R537" s="18" t="s">
        <v>10537</v>
      </c>
      <c r="S537" s="1" t="s">
        <v>6244</v>
      </c>
      <c r="T537" s="1">
        <f t="shared" si="27"/>
        <v>3146</v>
      </c>
      <c r="U537" s="1">
        <f t="shared" si="28"/>
        <v>2401</v>
      </c>
      <c r="V537" s="1">
        <v>1581</v>
      </c>
      <c r="W537" s="1">
        <v>447</v>
      </c>
      <c r="AD537" s="1">
        <v>373</v>
      </c>
      <c r="AH537" s="1">
        <f>SUM(AI537:AT537)</f>
        <v>745</v>
      </c>
      <c r="AI537" s="1">
        <v>292</v>
      </c>
      <c r="AJ537" s="1">
        <v>284</v>
      </c>
      <c r="AQ537" s="1">
        <v>169</v>
      </c>
    </row>
    <row r="538" spans="1:44" x14ac:dyDescent="0.2">
      <c r="A538" s="18" t="s">
        <v>7570</v>
      </c>
      <c r="B538" s="18">
        <v>23422394</v>
      </c>
      <c r="C538" s="18" t="s">
        <v>7421</v>
      </c>
      <c r="D538" s="18"/>
      <c r="E538" s="19">
        <v>3</v>
      </c>
      <c r="F538" s="18"/>
      <c r="G538" s="18" t="s">
        <v>7571</v>
      </c>
      <c r="H538" s="18" t="s">
        <v>7207</v>
      </c>
      <c r="I538" s="24">
        <v>41365</v>
      </c>
      <c r="J538" s="18" t="s">
        <v>10</v>
      </c>
      <c r="K538" s="18" t="s">
        <v>7572</v>
      </c>
      <c r="L538" s="18" t="s">
        <v>7573</v>
      </c>
      <c r="M538" s="18"/>
      <c r="N538" s="18" t="s">
        <v>10</v>
      </c>
      <c r="O538" s="18" t="s">
        <v>10</v>
      </c>
      <c r="P538" s="18" t="s">
        <v>7574</v>
      </c>
      <c r="Q538" s="18" t="s">
        <v>33</v>
      </c>
      <c r="R538" s="18" t="s">
        <v>7575</v>
      </c>
      <c r="S538" s="1" t="s">
        <v>6243</v>
      </c>
      <c r="T538" s="1">
        <f t="shared" si="27"/>
        <v>3769</v>
      </c>
      <c r="U538" s="1">
        <f t="shared" si="28"/>
        <v>3769</v>
      </c>
      <c r="V538" s="1">
        <f>1255+2514</f>
        <v>3769</v>
      </c>
    </row>
    <row r="539" spans="1:44" x14ac:dyDescent="0.2">
      <c r="A539" s="18" t="s">
        <v>10557</v>
      </c>
      <c r="B539" s="18">
        <v>23422753</v>
      </c>
      <c r="C539" s="18" t="s">
        <v>7421</v>
      </c>
      <c r="D539" s="18"/>
      <c r="E539" s="19">
        <v>37</v>
      </c>
      <c r="F539" s="18"/>
      <c r="G539" s="18" t="s">
        <v>10558</v>
      </c>
      <c r="H539" s="18" t="s">
        <v>10559</v>
      </c>
      <c r="I539" s="24">
        <v>41324</v>
      </c>
      <c r="J539" s="18" t="s">
        <v>10</v>
      </c>
      <c r="K539" s="18" t="s">
        <v>455</v>
      </c>
      <c r="L539" s="18" t="s">
        <v>10560</v>
      </c>
      <c r="M539" s="18"/>
      <c r="N539" s="18" t="s">
        <v>10</v>
      </c>
      <c r="O539" s="18" t="s">
        <v>10</v>
      </c>
      <c r="P539" s="18" t="s">
        <v>10561</v>
      </c>
      <c r="Q539" s="18" t="s">
        <v>33</v>
      </c>
      <c r="R539" s="18" t="s">
        <v>10562</v>
      </c>
      <c r="S539" s="1" t="s">
        <v>6248</v>
      </c>
      <c r="T539" s="1">
        <f t="shared" si="27"/>
        <v>512</v>
      </c>
      <c r="U539" s="1">
        <f t="shared" si="28"/>
        <v>512</v>
      </c>
      <c r="AE539" s="1">
        <f>177+335</f>
        <v>512</v>
      </c>
    </row>
    <row r="540" spans="1:44" x14ac:dyDescent="0.2">
      <c r="A540" s="18" t="s">
        <v>8379</v>
      </c>
      <c r="B540" s="18">
        <v>23423138</v>
      </c>
      <c r="C540" s="18" t="s">
        <v>7421</v>
      </c>
      <c r="D540" s="18"/>
      <c r="E540" s="19">
        <v>11</v>
      </c>
      <c r="F540" s="18"/>
      <c r="G540" s="18" t="s">
        <v>8671</v>
      </c>
      <c r="H540" s="18" t="s">
        <v>1108</v>
      </c>
      <c r="I540" s="24">
        <v>41324</v>
      </c>
      <c r="J540" s="18" t="s">
        <v>11</v>
      </c>
      <c r="K540" s="18" t="s">
        <v>7641</v>
      </c>
      <c r="L540" s="18" t="s">
        <v>8672</v>
      </c>
      <c r="M540" s="18"/>
      <c r="N540" s="18" t="s">
        <v>10</v>
      </c>
      <c r="O540" s="18" t="s">
        <v>10</v>
      </c>
      <c r="P540" s="18" t="s">
        <v>8673</v>
      </c>
      <c r="Q540" s="18" t="s">
        <v>8674</v>
      </c>
      <c r="R540" s="18" t="s">
        <v>10934</v>
      </c>
      <c r="S540" s="1" t="s">
        <v>6243</v>
      </c>
      <c r="T540" s="1">
        <f t="shared" si="27"/>
        <v>710</v>
      </c>
      <c r="U540" s="1">
        <f t="shared" si="28"/>
        <v>200</v>
      </c>
      <c r="V540" s="1">
        <v>200</v>
      </c>
      <c r="AH540" s="1">
        <f>SUM(AI540:AT540)</f>
        <v>510</v>
      </c>
      <c r="AI540" s="1">
        <v>510</v>
      </c>
    </row>
    <row r="541" spans="1:44" x14ac:dyDescent="0.2">
      <c r="A541" s="18" t="s">
        <v>8207</v>
      </c>
      <c r="B541" s="18">
        <v>23423446</v>
      </c>
      <c r="C541" s="18" t="s">
        <v>7421</v>
      </c>
      <c r="D541" s="18"/>
      <c r="E541" s="19">
        <v>5</v>
      </c>
      <c r="F541" s="18"/>
      <c r="G541" s="18" t="s">
        <v>8208</v>
      </c>
      <c r="H541" s="18" t="s">
        <v>8209</v>
      </c>
      <c r="I541" s="24">
        <v>41325</v>
      </c>
      <c r="J541" s="18" t="s">
        <v>11</v>
      </c>
      <c r="K541" s="18" t="s">
        <v>425</v>
      </c>
      <c r="L541" s="18" t="s">
        <v>8210</v>
      </c>
      <c r="M541" s="18"/>
      <c r="N541" s="18" t="s">
        <v>11</v>
      </c>
      <c r="O541" s="18" t="s">
        <v>11</v>
      </c>
      <c r="P541" s="18" t="s">
        <v>8211</v>
      </c>
      <c r="Q541" s="18" t="s">
        <v>8212</v>
      </c>
      <c r="R541" s="18" t="s">
        <v>8213</v>
      </c>
      <c r="S541" s="1" t="s">
        <v>6244</v>
      </c>
      <c r="T541" s="1">
        <f t="shared" si="27"/>
        <v>16824</v>
      </c>
      <c r="U541" s="1">
        <f t="shared" si="28"/>
        <v>731</v>
      </c>
      <c r="V541" s="1">
        <v>731</v>
      </c>
      <c r="AH541" s="1">
        <f>SUM(AI541:AT541)</f>
        <v>16093</v>
      </c>
      <c r="AQ541" s="1">
        <f>7965+8128</f>
        <v>16093</v>
      </c>
    </row>
    <row r="542" spans="1:44" x14ac:dyDescent="0.2">
      <c r="A542" s="18" t="s">
        <v>7491</v>
      </c>
      <c r="B542" s="18">
        <v>23424626</v>
      </c>
      <c r="C542" s="18" t="s">
        <v>7421</v>
      </c>
      <c r="D542" s="18"/>
      <c r="E542" s="19">
        <v>137</v>
      </c>
      <c r="F542" s="18"/>
      <c r="G542" s="18" t="s">
        <v>7492</v>
      </c>
      <c r="H542" s="18" t="s">
        <v>7493</v>
      </c>
      <c r="I542" s="24">
        <v>41317</v>
      </c>
      <c r="J542" s="18" t="s">
        <v>10</v>
      </c>
      <c r="K542" s="18" t="s">
        <v>181</v>
      </c>
      <c r="L542" s="18" t="s">
        <v>7494</v>
      </c>
      <c r="M542" s="18"/>
      <c r="N542" s="18" t="s">
        <v>11</v>
      </c>
      <c r="O542" s="18" t="s">
        <v>11</v>
      </c>
      <c r="P542" s="18" t="s">
        <v>7495</v>
      </c>
      <c r="Q542" s="18" t="s">
        <v>33</v>
      </c>
      <c r="R542" s="18" t="s">
        <v>7496</v>
      </c>
      <c r="S542" s="1" t="s">
        <v>6440</v>
      </c>
      <c r="T542" s="1">
        <f t="shared" si="27"/>
        <v>6019</v>
      </c>
      <c r="U542" s="1">
        <f t="shared" si="28"/>
        <v>6019</v>
      </c>
      <c r="W542" s="1">
        <f>4159+1860</f>
        <v>6019</v>
      </c>
    </row>
    <row r="543" spans="1:44" x14ac:dyDescent="0.2">
      <c r="A543" s="18" t="s">
        <v>10235</v>
      </c>
      <c r="B543" s="18">
        <v>23432519</v>
      </c>
      <c r="C543" s="18" t="s">
        <v>7421</v>
      </c>
      <c r="D543" s="18"/>
      <c r="E543" s="19">
        <v>13</v>
      </c>
      <c r="F543" s="18"/>
      <c r="G543" s="18" t="s">
        <v>10236</v>
      </c>
      <c r="H543" s="18" t="s">
        <v>10237</v>
      </c>
      <c r="I543" s="24">
        <v>41326</v>
      </c>
      <c r="J543" s="18" t="s">
        <v>11</v>
      </c>
      <c r="K543" s="18" t="s">
        <v>10238</v>
      </c>
      <c r="L543" s="18" t="s">
        <v>10239</v>
      </c>
      <c r="M543" s="18"/>
      <c r="N543" s="18" t="s">
        <v>10</v>
      </c>
      <c r="O543" s="18" t="s">
        <v>10</v>
      </c>
      <c r="P543" s="18" t="s">
        <v>10240</v>
      </c>
      <c r="Q543" s="18" t="s">
        <v>33</v>
      </c>
      <c r="R543" s="18" t="s">
        <v>10241</v>
      </c>
      <c r="S543" s="1" t="s">
        <v>6243</v>
      </c>
      <c r="T543" s="1">
        <f t="shared" si="27"/>
        <v>263</v>
      </c>
      <c r="U543" s="1">
        <f t="shared" si="28"/>
        <v>263</v>
      </c>
      <c r="V543" s="1">
        <v>263</v>
      </c>
    </row>
    <row r="544" spans="1:44" x14ac:dyDescent="0.2">
      <c r="A544" s="18" t="s">
        <v>8074</v>
      </c>
      <c r="B544" s="18">
        <v>23436924</v>
      </c>
      <c r="C544" s="18" t="s">
        <v>7421</v>
      </c>
      <c r="D544" s="18"/>
      <c r="E544" s="19">
        <v>13</v>
      </c>
      <c r="F544" s="18"/>
      <c r="G544" s="18" t="s">
        <v>8075</v>
      </c>
      <c r="H544" s="18" t="s">
        <v>8076</v>
      </c>
      <c r="I544" s="24">
        <v>41327</v>
      </c>
      <c r="J544" s="18" t="s">
        <v>10</v>
      </c>
      <c r="K544" s="18" t="s">
        <v>1316</v>
      </c>
      <c r="L544" s="18" t="s">
        <v>8077</v>
      </c>
      <c r="M544" s="18"/>
      <c r="N544" s="18" t="s">
        <v>11</v>
      </c>
      <c r="O544" s="18" t="s">
        <v>11</v>
      </c>
      <c r="P544" s="18" t="s">
        <v>8078</v>
      </c>
      <c r="Q544" s="18" t="s">
        <v>33</v>
      </c>
      <c r="R544" s="18" t="s">
        <v>8079</v>
      </c>
      <c r="S544" s="1" t="s">
        <v>6440</v>
      </c>
      <c r="T544" s="1">
        <f t="shared" si="27"/>
        <v>802</v>
      </c>
      <c r="U544" s="1">
        <f t="shared" si="28"/>
        <v>802</v>
      </c>
      <c r="W544" s="1">
        <f>802</f>
        <v>802</v>
      </c>
    </row>
    <row r="545" spans="1:44" x14ac:dyDescent="0.2">
      <c r="A545" s="18" t="s">
        <v>1987</v>
      </c>
      <c r="B545" s="18">
        <v>23437003</v>
      </c>
      <c r="C545" s="18" t="s">
        <v>7421</v>
      </c>
      <c r="D545" s="18"/>
      <c r="E545" s="19">
        <v>173</v>
      </c>
      <c r="F545" s="18"/>
      <c r="G545" s="18" t="s">
        <v>10703</v>
      </c>
      <c r="H545" s="18" t="s">
        <v>7231</v>
      </c>
      <c r="I545" s="24">
        <v>41326</v>
      </c>
      <c r="J545" s="18" t="s">
        <v>11</v>
      </c>
      <c r="K545" s="18" t="s">
        <v>65</v>
      </c>
      <c r="L545" s="18" t="s">
        <v>10704</v>
      </c>
      <c r="M545" s="18"/>
      <c r="N545" s="18" t="s">
        <v>10</v>
      </c>
      <c r="O545" s="18" t="s">
        <v>10</v>
      </c>
      <c r="P545" s="18" t="s">
        <v>10705</v>
      </c>
      <c r="Q545" s="18" t="s">
        <v>10706</v>
      </c>
      <c r="R545" s="18" t="s">
        <v>10707</v>
      </c>
      <c r="S545" s="1" t="s">
        <v>6243</v>
      </c>
      <c r="T545" s="1">
        <f t="shared" si="27"/>
        <v>3930</v>
      </c>
      <c r="U545" s="1">
        <f t="shared" si="28"/>
        <v>2878</v>
      </c>
      <c r="V545" s="1">
        <v>2878</v>
      </c>
      <c r="AH545" s="1">
        <f>SUM(AI545:AT545)</f>
        <v>1052</v>
      </c>
      <c r="AI545" s="1">
        <v>1052</v>
      </c>
    </row>
    <row r="546" spans="1:44" x14ac:dyDescent="0.2">
      <c r="A546" s="18" t="s">
        <v>1431</v>
      </c>
      <c r="B546" s="18">
        <v>23446634</v>
      </c>
      <c r="C546" s="18" t="s">
        <v>7421</v>
      </c>
      <c r="D546" s="18"/>
      <c r="E546" s="19">
        <v>86</v>
      </c>
      <c r="F546" s="18"/>
      <c r="G546" s="18" t="s">
        <v>8014</v>
      </c>
      <c r="H546" s="18" t="s">
        <v>7219</v>
      </c>
      <c r="I546" s="24">
        <v>41336</v>
      </c>
      <c r="J546" s="18" t="s">
        <v>11</v>
      </c>
      <c r="K546" s="18" t="s">
        <v>103</v>
      </c>
      <c r="L546" s="18" t="s">
        <v>8015</v>
      </c>
      <c r="M546" s="18"/>
      <c r="N546" s="18" t="s">
        <v>10</v>
      </c>
      <c r="O546" s="18" t="s">
        <v>10</v>
      </c>
      <c r="P546" s="18" t="s">
        <v>8016</v>
      </c>
      <c r="Q546" s="18" t="s">
        <v>8017</v>
      </c>
      <c r="R546" s="18" t="s">
        <v>1200</v>
      </c>
      <c r="S546" s="1" t="s">
        <v>6244</v>
      </c>
      <c r="T546" s="1">
        <f t="shared" si="27"/>
        <v>61285</v>
      </c>
      <c r="U546" s="1">
        <f t="shared" si="28"/>
        <v>16485</v>
      </c>
      <c r="W546" s="1">
        <v>16485</v>
      </c>
      <c r="AH546" s="1">
        <f>SUM(AI546:AT546)</f>
        <v>44800</v>
      </c>
      <c r="AI546" s="1">
        <v>21020</v>
      </c>
      <c r="AJ546" s="1">
        <v>9692</v>
      </c>
      <c r="AK546" s="1">
        <v>14088</v>
      </c>
    </row>
    <row r="547" spans="1:44" x14ac:dyDescent="0.2">
      <c r="A547" s="18" t="s">
        <v>9078</v>
      </c>
      <c r="B547" s="18">
        <v>23449627</v>
      </c>
      <c r="C547" s="18" t="s">
        <v>7421</v>
      </c>
      <c r="D547" s="18"/>
      <c r="E547" s="19">
        <v>74</v>
      </c>
      <c r="F547" s="18"/>
      <c r="G547" s="18" t="s">
        <v>9079</v>
      </c>
      <c r="H547" s="18" t="s">
        <v>9080</v>
      </c>
      <c r="I547" s="24">
        <v>41332</v>
      </c>
      <c r="J547" s="18" t="s">
        <v>11</v>
      </c>
      <c r="K547" s="18" t="s">
        <v>103</v>
      </c>
      <c r="L547" s="18" t="s">
        <v>9081</v>
      </c>
      <c r="M547" s="18"/>
      <c r="N547" s="18" t="s">
        <v>11</v>
      </c>
      <c r="O547" s="18" t="s">
        <v>10</v>
      </c>
      <c r="P547" s="18" t="s">
        <v>9082</v>
      </c>
      <c r="Q547" s="18" t="s">
        <v>9083</v>
      </c>
      <c r="R547" s="18" t="s">
        <v>9084</v>
      </c>
      <c r="S547" s="1" t="s">
        <v>6243</v>
      </c>
      <c r="T547" s="1">
        <f t="shared" si="27"/>
        <v>23750</v>
      </c>
      <c r="U547" s="1">
        <f t="shared" si="28"/>
        <v>14040</v>
      </c>
      <c r="V547" s="1">
        <f>7161+6879</f>
        <v>14040</v>
      </c>
      <c r="AH547" s="1">
        <f>SUM(AI547:AT547)</f>
        <v>9710</v>
      </c>
      <c r="AI547" s="1">
        <f>5133+4577</f>
        <v>9710</v>
      </c>
    </row>
    <row r="548" spans="1:44" x14ac:dyDescent="0.2">
      <c r="A548" s="18" t="s">
        <v>1717</v>
      </c>
      <c r="B548" s="18">
        <v>23449693</v>
      </c>
      <c r="C548" s="18" t="s">
        <v>7421</v>
      </c>
      <c r="D548" s="18"/>
      <c r="E548" s="19">
        <v>2</v>
      </c>
      <c r="F548" s="18"/>
      <c r="G548" s="18" t="s">
        <v>7445</v>
      </c>
      <c r="H548" s="18" t="s">
        <v>7446</v>
      </c>
      <c r="I548" s="24">
        <v>41333</v>
      </c>
      <c r="J548" s="18" t="s">
        <v>10</v>
      </c>
      <c r="K548" s="18" t="s">
        <v>1637</v>
      </c>
      <c r="L548" s="18" t="s">
        <v>7447</v>
      </c>
      <c r="M548" s="18"/>
      <c r="N548" s="18" t="s">
        <v>10</v>
      </c>
      <c r="O548" s="18" t="s">
        <v>10</v>
      </c>
      <c r="P548" s="18" t="s">
        <v>7448</v>
      </c>
      <c r="Q548" s="18" t="s">
        <v>7449</v>
      </c>
      <c r="R548" s="18" t="s">
        <v>7450</v>
      </c>
      <c r="S548" s="1" t="s">
        <v>6243</v>
      </c>
      <c r="T548" s="1">
        <f t="shared" si="27"/>
        <v>3065</v>
      </c>
      <c r="U548" s="1">
        <f t="shared" si="28"/>
        <v>224</v>
      </c>
      <c r="V548" s="1">
        <f>74+150</f>
        <v>224</v>
      </c>
      <c r="AH548" s="1">
        <f>SUM(AI548:AT548)</f>
        <v>2841</v>
      </c>
      <c r="AI548" s="1">
        <f>1167+1674</f>
        <v>2841</v>
      </c>
    </row>
    <row r="549" spans="1:44" x14ac:dyDescent="0.2">
      <c r="A549" s="18" t="s">
        <v>10212</v>
      </c>
      <c r="B549" s="18">
        <v>23453885</v>
      </c>
      <c r="C549" s="18" t="s">
        <v>7421</v>
      </c>
      <c r="D549" s="18"/>
      <c r="E549" s="19">
        <v>100</v>
      </c>
      <c r="F549" s="18"/>
      <c r="G549" s="18" t="s">
        <v>10213</v>
      </c>
      <c r="H549" s="18" t="s">
        <v>10214</v>
      </c>
      <c r="I549" s="24">
        <v>41332</v>
      </c>
      <c r="J549" s="18" t="s">
        <v>11</v>
      </c>
      <c r="K549" s="18" t="s">
        <v>351</v>
      </c>
      <c r="L549" s="18" t="s">
        <v>10215</v>
      </c>
      <c r="M549" s="18"/>
      <c r="N549" s="18" t="s">
        <v>10</v>
      </c>
      <c r="O549" s="18" t="s">
        <v>10</v>
      </c>
      <c r="P549" s="18" t="s">
        <v>10216</v>
      </c>
      <c r="Q549" s="18" t="s">
        <v>33</v>
      </c>
      <c r="R549" s="18" t="s">
        <v>10958</v>
      </c>
      <c r="S549" s="1" t="s">
        <v>6243</v>
      </c>
      <c r="T549" s="1">
        <f t="shared" si="27"/>
        <v>61220</v>
      </c>
      <c r="U549" s="1">
        <f t="shared" si="28"/>
        <v>61220</v>
      </c>
      <c r="V549" s="1">
        <f>27888+1947+840+4788+161+9379+9227+6990</f>
        <v>61220</v>
      </c>
    </row>
    <row r="550" spans="1:44" x14ac:dyDescent="0.2">
      <c r="A550" s="18" t="s">
        <v>1635</v>
      </c>
      <c r="B550" s="18">
        <v>23454411</v>
      </c>
      <c r="C550" s="18" t="s">
        <v>7421</v>
      </c>
      <c r="D550" s="18"/>
      <c r="E550" s="19">
        <v>5</v>
      </c>
      <c r="F550" s="18"/>
      <c r="G550" s="18" t="s">
        <v>678</v>
      </c>
      <c r="H550" s="18" t="s">
        <v>8522</v>
      </c>
      <c r="I550" s="24">
        <v>41332</v>
      </c>
      <c r="J550" s="18" t="s">
        <v>11</v>
      </c>
      <c r="K550" s="18" t="s">
        <v>9316</v>
      </c>
      <c r="L550" s="18" t="s">
        <v>9317</v>
      </c>
      <c r="M550" s="18"/>
      <c r="N550" s="18" t="s">
        <v>10</v>
      </c>
      <c r="O550" s="18" t="s">
        <v>10</v>
      </c>
      <c r="P550" s="18" t="s">
        <v>9318</v>
      </c>
      <c r="Q550" s="18" t="s">
        <v>9319</v>
      </c>
      <c r="R550" s="18" t="s">
        <v>9320</v>
      </c>
      <c r="S550" s="1" t="s">
        <v>6242</v>
      </c>
      <c r="T550" s="1">
        <f t="shared" si="27"/>
        <v>379</v>
      </c>
      <c r="U550" s="1">
        <f t="shared" si="28"/>
        <v>134</v>
      </c>
      <c r="X550" s="1">
        <f>64+70</f>
        <v>134</v>
      </c>
      <c r="AH550" s="1">
        <f>SUM(AI550:AT550)</f>
        <v>245</v>
      </c>
      <c r="AK550" s="1">
        <f>117+128</f>
        <v>245</v>
      </c>
    </row>
    <row r="551" spans="1:44" x14ac:dyDescent="0.2">
      <c r="A551" s="18" t="s">
        <v>2550</v>
      </c>
      <c r="B551" s="18">
        <v>23455491</v>
      </c>
      <c r="C551" s="18" t="s">
        <v>7421</v>
      </c>
      <c r="D551" s="18"/>
      <c r="E551" s="19">
        <v>126</v>
      </c>
      <c r="F551" s="18"/>
      <c r="G551" s="18" t="s">
        <v>968</v>
      </c>
      <c r="H551" s="18" t="s">
        <v>7207</v>
      </c>
      <c r="I551" s="24">
        <v>41332</v>
      </c>
      <c r="J551" s="18" t="s">
        <v>11</v>
      </c>
      <c r="K551" s="18" t="s">
        <v>7587</v>
      </c>
      <c r="L551" s="18" t="s">
        <v>7588</v>
      </c>
      <c r="M551" s="18"/>
      <c r="N551" s="18" t="s">
        <v>10</v>
      </c>
      <c r="O551" s="18" t="s">
        <v>10</v>
      </c>
      <c r="P551" s="18" t="s">
        <v>7589</v>
      </c>
      <c r="Q551" s="18" t="s">
        <v>7590</v>
      </c>
      <c r="R551" s="18" t="s">
        <v>7558</v>
      </c>
      <c r="S551" s="1" t="s">
        <v>6243</v>
      </c>
      <c r="T551" s="1">
        <f t="shared" si="27"/>
        <v>9365</v>
      </c>
      <c r="U551" s="1">
        <f t="shared" si="28"/>
        <v>2927</v>
      </c>
      <c r="V551" s="1">
        <f>1409+1518</f>
        <v>2927</v>
      </c>
      <c r="AH551" s="1">
        <f>SUM(AI551:AT551)</f>
        <v>6438</v>
      </c>
      <c r="AI551" s="1">
        <v>6438</v>
      </c>
    </row>
    <row r="552" spans="1:44" x14ac:dyDescent="0.2">
      <c r="A552" s="18" t="s">
        <v>7529</v>
      </c>
      <c r="B552" s="18">
        <v>23455636</v>
      </c>
      <c r="C552" s="18" t="s">
        <v>7421</v>
      </c>
      <c r="D552" s="18"/>
      <c r="E552" s="19">
        <v>377457</v>
      </c>
      <c r="F552" s="18"/>
      <c r="G552" s="18" t="s">
        <v>15</v>
      </c>
      <c r="H552" s="18" t="s">
        <v>7143</v>
      </c>
      <c r="I552" s="24">
        <v>41336</v>
      </c>
      <c r="J552" s="18" t="s">
        <v>11</v>
      </c>
      <c r="K552" s="18" t="s">
        <v>28</v>
      </c>
      <c r="L552" s="18" t="s">
        <v>7530</v>
      </c>
      <c r="M552" s="18"/>
      <c r="N552" s="18" t="s">
        <v>10</v>
      </c>
      <c r="O552" s="18" t="s">
        <v>10</v>
      </c>
      <c r="P552" s="18" t="s">
        <v>7531</v>
      </c>
      <c r="Q552" s="18" t="s">
        <v>7532</v>
      </c>
      <c r="R552" s="18" t="s">
        <v>7533</v>
      </c>
      <c r="S552" s="1" t="s">
        <v>6244</v>
      </c>
      <c r="T552" s="1">
        <f t="shared" si="27"/>
        <v>77255</v>
      </c>
      <c r="U552" s="1">
        <f t="shared" si="28"/>
        <v>59494</v>
      </c>
      <c r="V552" s="1">
        <f>6713+48402</f>
        <v>55115</v>
      </c>
      <c r="X552" s="1">
        <f>827+3323</f>
        <v>4150</v>
      </c>
      <c r="Y552" s="1">
        <v>229</v>
      </c>
      <c r="AH552" s="1">
        <f>SUM(AI552:AT552)</f>
        <v>17761</v>
      </c>
      <c r="AI552" s="1">
        <f>9070+7683</f>
        <v>16753</v>
      </c>
      <c r="AK552" s="1">
        <f>547+461</f>
        <v>1008</v>
      </c>
    </row>
    <row r="553" spans="1:44" x14ac:dyDescent="0.2">
      <c r="A553" s="18" t="s">
        <v>10497</v>
      </c>
      <c r="B553" s="18">
        <v>23455637</v>
      </c>
      <c r="C553" s="18" t="s">
        <v>7421</v>
      </c>
      <c r="D553" s="18"/>
      <c r="E553" s="19">
        <v>2</v>
      </c>
      <c r="F553" s="18"/>
      <c r="G553" s="18" t="s">
        <v>6866</v>
      </c>
      <c r="H553" s="18" t="s">
        <v>2562</v>
      </c>
      <c r="I553" s="24">
        <v>41336</v>
      </c>
      <c r="J553" s="18" t="s">
        <v>11</v>
      </c>
      <c r="K553" s="18" t="s">
        <v>28</v>
      </c>
      <c r="L553" s="18" t="s">
        <v>10498</v>
      </c>
      <c r="M553" s="18"/>
      <c r="N553" s="18" t="s">
        <v>10</v>
      </c>
      <c r="O553" s="18" t="s">
        <v>10</v>
      </c>
      <c r="P553" s="18" t="s">
        <v>10499</v>
      </c>
      <c r="Q553" s="18" t="s">
        <v>10500</v>
      </c>
      <c r="R553" s="18" t="s">
        <v>10501</v>
      </c>
      <c r="S553" s="1" t="s">
        <v>6243</v>
      </c>
      <c r="T553" s="1">
        <f t="shared" si="27"/>
        <v>72899</v>
      </c>
      <c r="U553" s="1">
        <f t="shared" si="28"/>
        <v>4919</v>
      </c>
      <c r="V553" s="1">
        <f>1353+3566</f>
        <v>4919</v>
      </c>
      <c r="AH553" s="1">
        <f>SUM(AI553:AT553)</f>
        <v>67980</v>
      </c>
      <c r="AI553" s="1">
        <f>12313+55667</f>
        <v>67980</v>
      </c>
    </row>
    <row r="554" spans="1:44" x14ac:dyDescent="0.2">
      <c r="A554" s="18" t="s">
        <v>2648</v>
      </c>
      <c r="B554" s="18">
        <v>23456168</v>
      </c>
      <c r="C554" s="18" t="s">
        <v>7421</v>
      </c>
      <c r="D554" s="18"/>
      <c r="E554" s="19">
        <v>51</v>
      </c>
      <c r="F554" s="18"/>
      <c r="G554" s="18" t="s">
        <v>197</v>
      </c>
      <c r="H554" s="18" t="s">
        <v>9068</v>
      </c>
      <c r="I554" s="24">
        <v>41336</v>
      </c>
      <c r="J554" s="18" t="s">
        <v>11</v>
      </c>
      <c r="K554" s="18" t="s">
        <v>595</v>
      </c>
      <c r="L554" s="18" t="s">
        <v>9069</v>
      </c>
      <c r="M554" s="18"/>
      <c r="N554" s="18" t="s">
        <v>10</v>
      </c>
      <c r="O554" s="18" t="s">
        <v>10</v>
      </c>
      <c r="P554" s="18" t="s">
        <v>9070</v>
      </c>
      <c r="Q554" s="18" t="s">
        <v>9071</v>
      </c>
      <c r="R554" s="18" t="s">
        <v>9072</v>
      </c>
      <c r="S554" s="1" t="s">
        <v>6242</v>
      </c>
      <c r="T554" s="1">
        <f t="shared" si="27"/>
        <v>8415</v>
      </c>
      <c r="U554" s="1">
        <f t="shared" si="28"/>
        <v>6534</v>
      </c>
      <c r="X554" s="1">
        <v>6534</v>
      </c>
      <c r="AH554" s="1">
        <f>SUM(AI554:AT554)</f>
        <v>1881</v>
      </c>
      <c r="AK554" s="1">
        <v>1881</v>
      </c>
    </row>
    <row r="555" spans="1:44" x14ac:dyDescent="0.2">
      <c r="A555" s="18" t="s">
        <v>9697</v>
      </c>
      <c r="B555" s="18">
        <v>23459209</v>
      </c>
      <c r="C555" s="18" t="s">
        <v>7421</v>
      </c>
      <c r="D555" s="18"/>
      <c r="E555" s="19">
        <v>57</v>
      </c>
      <c r="F555" s="18"/>
      <c r="G555" s="18" t="s">
        <v>536</v>
      </c>
      <c r="H555" s="18" t="s">
        <v>268</v>
      </c>
      <c r="I555" s="24">
        <v>41319</v>
      </c>
      <c r="J555" s="18" t="s">
        <v>10</v>
      </c>
      <c r="K555" s="18" t="s">
        <v>65</v>
      </c>
      <c r="L555" s="18" t="s">
        <v>9698</v>
      </c>
      <c r="M555" s="18"/>
      <c r="N555" s="18" t="s">
        <v>10</v>
      </c>
      <c r="O555" s="18" t="s">
        <v>10</v>
      </c>
      <c r="P555" s="18" t="s">
        <v>9699</v>
      </c>
      <c r="Q555" s="18" t="s">
        <v>33</v>
      </c>
      <c r="R555" s="18" t="s">
        <v>9700</v>
      </c>
      <c r="S555" s="1" t="s">
        <v>6243</v>
      </c>
      <c r="T555" s="1">
        <f t="shared" si="27"/>
        <v>12307</v>
      </c>
      <c r="U555" s="1">
        <f t="shared" si="28"/>
        <v>12307</v>
      </c>
      <c r="V555" s="1">
        <f>1886+10421</f>
        <v>12307</v>
      </c>
    </row>
    <row r="556" spans="1:44" x14ac:dyDescent="0.2">
      <c r="A556" s="18" t="s">
        <v>9987</v>
      </c>
      <c r="B556" s="18">
        <v>23459936</v>
      </c>
      <c r="C556" s="18" t="s">
        <v>7421</v>
      </c>
      <c r="D556" s="18"/>
      <c r="E556" s="19">
        <v>18</v>
      </c>
      <c r="F556" s="18"/>
      <c r="G556" s="18" t="s">
        <v>9992</v>
      </c>
      <c r="H556" s="18" t="s">
        <v>6896</v>
      </c>
      <c r="I556" s="24">
        <v>41337</v>
      </c>
      <c r="J556" s="18" t="s">
        <v>11</v>
      </c>
      <c r="K556" s="18" t="s">
        <v>103</v>
      </c>
      <c r="L556" s="18" t="s">
        <v>9993</v>
      </c>
      <c r="M556" s="18"/>
      <c r="N556" s="18" t="s">
        <v>10</v>
      </c>
      <c r="O556" s="18" t="s">
        <v>10</v>
      </c>
      <c r="P556" s="18" t="s">
        <v>9994</v>
      </c>
      <c r="Q556" s="18" t="s">
        <v>9995</v>
      </c>
      <c r="R556" s="18" t="s">
        <v>9996</v>
      </c>
      <c r="S556" s="1" t="s">
        <v>6244</v>
      </c>
      <c r="T556" s="1">
        <f t="shared" si="27"/>
        <v>5160</v>
      </c>
      <c r="U556" s="1">
        <f t="shared" si="28"/>
        <v>4504</v>
      </c>
      <c r="V556" s="1">
        <v>4504</v>
      </c>
      <c r="AH556" s="1">
        <f>SUM(AI556:AT556)</f>
        <v>656</v>
      </c>
      <c r="AQ556" s="1">
        <v>656</v>
      </c>
    </row>
    <row r="557" spans="1:44" x14ac:dyDescent="0.2">
      <c r="A557" s="18" t="s">
        <v>8691</v>
      </c>
      <c r="B557" s="18">
        <v>23463857</v>
      </c>
      <c r="C557" s="18" t="s">
        <v>7421</v>
      </c>
      <c r="D557" s="18"/>
      <c r="E557" s="19">
        <v>158</v>
      </c>
      <c r="F557" s="18"/>
      <c r="G557" s="18" t="s">
        <v>8692</v>
      </c>
      <c r="H557" s="18" t="s">
        <v>7252</v>
      </c>
      <c r="I557" s="24">
        <v>41338</v>
      </c>
      <c r="J557" s="18" t="s">
        <v>11</v>
      </c>
      <c r="K557" s="18" t="s">
        <v>1371</v>
      </c>
      <c r="L557" s="18" t="s">
        <v>8693</v>
      </c>
      <c r="M557" s="18"/>
      <c r="N557" s="18" t="s">
        <v>10</v>
      </c>
      <c r="O557" s="18" t="s">
        <v>10</v>
      </c>
      <c r="P557" s="18" t="s">
        <v>8694</v>
      </c>
      <c r="Q557" s="18" t="s">
        <v>8695</v>
      </c>
      <c r="R557" s="18" t="s">
        <v>8696</v>
      </c>
      <c r="S557" s="1" t="s">
        <v>6243</v>
      </c>
      <c r="T557" s="1">
        <f t="shared" si="27"/>
        <v>45679</v>
      </c>
      <c r="U557" s="1">
        <f t="shared" si="28"/>
        <v>5272</v>
      </c>
      <c r="V557" s="1">
        <v>5272</v>
      </c>
      <c r="AH557" s="1">
        <f>SUM(AI557:AT557)</f>
        <v>40407</v>
      </c>
      <c r="AI557" s="1">
        <v>40407</v>
      </c>
    </row>
    <row r="558" spans="1:44" x14ac:dyDescent="0.2">
      <c r="A558" s="18" t="s">
        <v>805</v>
      </c>
      <c r="B558" s="18">
        <v>23467860</v>
      </c>
      <c r="C558" s="18" t="s">
        <v>7421</v>
      </c>
      <c r="D558" s="18"/>
      <c r="E558" s="19">
        <v>33</v>
      </c>
      <c r="F558" s="18"/>
      <c r="G558" s="18" t="s">
        <v>8605</v>
      </c>
      <c r="H558" s="18" t="s">
        <v>8606</v>
      </c>
      <c r="I558" s="24">
        <v>41339</v>
      </c>
      <c r="J558" s="18" t="s">
        <v>11</v>
      </c>
      <c r="K558" s="18" t="s">
        <v>1371</v>
      </c>
      <c r="L558" s="18" t="s">
        <v>8607</v>
      </c>
      <c r="M558" s="18"/>
      <c r="N558" s="18" t="s">
        <v>10</v>
      </c>
      <c r="O558" s="18" t="s">
        <v>10</v>
      </c>
      <c r="P558" s="18" t="s">
        <v>8608</v>
      </c>
      <c r="Q558" s="18" t="s">
        <v>8609</v>
      </c>
      <c r="R558" s="18" t="s">
        <v>8610</v>
      </c>
      <c r="S558" s="1" t="s">
        <v>6244</v>
      </c>
      <c r="T558" s="1">
        <f t="shared" si="27"/>
        <v>1950</v>
      </c>
      <c r="U558" s="1">
        <f t="shared" si="28"/>
        <v>1490</v>
      </c>
      <c r="V558" s="1">
        <v>1490</v>
      </c>
      <c r="AH558" s="1">
        <f>SUM(AI558:AT558)</f>
        <v>460</v>
      </c>
      <c r="AI558" s="1">
        <v>204</v>
      </c>
      <c r="AJ558" s="1">
        <v>6</v>
      </c>
      <c r="AK558" s="1">
        <v>49</v>
      </c>
      <c r="AM558" s="1">
        <v>66</v>
      </c>
      <c r="AP558" s="1">
        <v>1</v>
      </c>
      <c r="AR558" s="1">
        <v>134</v>
      </c>
    </row>
    <row r="559" spans="1:44" x14ac:dyDescent="0.2">
      <c r="A559" s="18" t="s">
        <v>9680</v>
      </c>
      <c r="B559" s="18">
        <v>23468642</v>
      </c>
      <c r="C559" s="18" t="s">
        <v>7421</v>
      </c>
      <c r="D559" s="18"/>
      <c r="E559" s="19">
        <v>6160</v>
      </c>
      <c r="F559" s="18"/>
      <c r="G559" s="18" t="s">
        <v>1904</v>
      </c>
      <c r="H559" s="18" t="s">
        <v>1102</v>
      </c>
      <c r="I559" s="24">
        <v>41333</v>
      </c>
      <c r="J559" s="18" t="s">
        <v>10</v>
      </c>
      <c r="K559" s="18" t="s">
        <v>65</v>
      </c>
      <c r="L559" s="18" t="s">
        <v>9681</v>
      </c>
      <c r="M559" s="18"/>
      <c r="N559" s="18" t="s">
        <v>10</v>
      </c>
      <c r="O559" s="18" t="s">
        <v>10</v>
      </c>
      <c r="P559" s="18" t="s">
        <v>9682</v>
      </c>
      <c r="Q559" s="18" t="s">
        <v>9683</v>
      </c>
      <c r="R559" s="18" t="s">
        <v>9684</v>
      </c>
      <c r="S559" s="1" t="s">
        <v>6243</v>
      </c>
      <c r="T559" s="1">
        <f t="shared" si="27"/>
        <v>54094</v>
      </c>
      <c r="U559" s="1">
        <f t="shared" si="28"/>
        <v>45771</v>
      </c>
      <c r="V559" s="1">
        <v>45771</v>
      </c>
      <c r="AH559" s="1">
        <f>SUM(AI559:AT559)</f>
        <v>8323</v>
      </c>
      <c r="AI559" s="1">
        <v>8323</v>
      </c>
    </row>
    <row r="560" spans="1:44" x14ac:dyDescent="0.2">
      <c r="A560" s="18" t="s">
        <v>8150</v>
      </c>
      <c r="B560" s="18">
        <v>23468962</v>
      </c>
      <c r="C560" s="18" t="s">
        <v>7421</v>
      </c>
      <c r="D560" s="18"/>
      <c r="E560" s="19">
        <v>29</v>
      </c>
      <c r="F560" s="18"/>
      <c r="G560" s="18" t="s">
        <v>119</v>
      </c>
      <c r="H560" s="18" t="s">
        <v>6675</v>
      </c>
      <c r="I560" s="24">
        <v>41333</v>
      </c>
      <c r="J560" s="18" t="s">
        <v>11</v>
      </c>
      <c r="K560" s="18" t="s">
        <v>181</v>
      </c>
      <c r="L560" s="18" t="s">
        <v>8151</v>
      </c>
      <c r="M560" s="18"/>
      <c r="N560" s="18" t="s">
        <v>11</v>
      </c>
      <c r="O560" s="18" t="s">
        <v>11</v>
      </c>
      <c r="P560" s="18" t="s">
        <v>8152</v>
      </c>
      <c r="Q560" s="18" t="s">
        <v>33</v>
      </c>
      <c r="R560" s="18" t="s">
        <v>8153</v>
      </c>
      <c r="S560" s="1" t="s">
        <v>6440</v>
      </c>
      <c r="T560" s="1">
        <f t="shared" si="27"/>
        <v>5761</v>
      </c>
      <c r="U560" s="1">
        <f t="shared" si="28"/>
        <v>5761</v>
      </c>
      <c r="W560" s="1">
        <f>3016+2745</f>
        <v>5761</v>
      </c>
    </row>
    <row r="561" spans="1:39" x14ac:dyDescent="0.2">
      <c r="A561" s="18" t="s">
        <v>10017</v>
      </c>
      <c r="B561" s="18">
        <v>23470693</v>
      </c>
      <c r="C561" s="18" t="s">
        <v>7421</v>
      </c>
      <c r="D561" s="18"/>
      <c r="E561" s="19">
        <v>187</v>
      </c>
      <c r="F561" s="18"/>
      <c r="G561" s="18" t="s">
        <v>10018</v>
      </c>
      <c r="H561" s="18" t="s">
        <v>7068</v>
      </c>
      <c r="I561" s="24">
        <v>41340</v>
      </c>
      <c r="J561" s="18" t="s">
        <v>11</v>
      </c>
      <c r="K561" s="18" t="s">
        <v>3117</v>
      </c>
      <c r="L561" s="18" t="s">
        <v>10019</v>
      </c>
      <c r="M561" s="18"/>
      <c r="N561" s="18" t="s">
        <v>10</v>
      </c>
      <c r="O561" s="18" t="s">
        <v>10</v>
      </c>
      <c r="P561" s="18" t="s">
        <v>10020</v>
      </c>
      <c r="Q561" s="18" t="s">
        <v>33</v>
      </c>
      <c r="R561" s="18" t="s">
        <v>10021</v>
      </c>
      <c r="S561" s="1" t="s">
        <v>6243</v>
      </c>
      <c r="T561" s="1">
        <f t="shared" si="27"/>
        <v>996</v>
      </c>
      <c r="U561" s="1">
        <f t="shared" si="28"/>
        <v>996</v>
      </c>
      <c r="V561" s="1">
        <v>996</v>
      </c>
    </row>
    <row r="562" spans="1:39" x14ac:dyDescent="0.2">
      <c r="A562" s="18" t="s">
        <v>8129</v>
      </c>
      <c r="B562" s="18">
        <v>23471985</v>
      </c>
      <c r="C562" s="18" t="s">
        <v>7421</v>
      </c>
      <c r="D562" s="18"/>
      <c r="E562" s="19">
        <v>23</v>
      </c>
      <c r="F562" s="18"/>
      <c r="G562" s="18" t="s">
        <v>8130</v>
      </c>
      <c r="H562" s="18" t="s">
        <v>8124</v>
      </c>
      <c r="I562" s="24">
        <v>41352</v>
      </c>
      <c r="J562" s="18" t="s">
        <v>11</v>
      </c>
      <c r="K562" s="18" t="s">
        <v>210</v>
      </c>
      <c r="L562" s="18" t="s">
        <v>8135</v>
      </c>
      <c r="M562" s="18"/>
      <c r="N562" s="18" t="s">
        <v>10</v>
      </c>
      <c r="O562" s="18" t="s">
        <v>10</v>
      </c>
      <c r="P562" s="18" t="s">
        <v>8136</v>
      </c>
      <c r="Q562" s="18" t="s">
        <v>33</v>
      </c>
      <c r="R562" s="18" t="s">
        <v>8134</v>
      </c>
      <c r="S562" s="1" t="s">
        <v>6243</v>
      </c>
      <c r="T562" s="1">
        <f t="shared" si="27"/>
        <v>331</v>
      </c>
      <c r="U562" s="1">
        <f t="shared" si="28"/>
        <v>331</v>
      </c>
      <c r="V562" s="1">
        <v>331</v>
      </c>
    </row>
    <row r="563" spans="1:39" x14ac:dyDescent="0.2">
      <c r="A563" s="18" t="s">
        <v>8739</v>
      </c>
      <c r="B563" s="18">
        <v>23472165</v>
      </c>
      <c r="C563" s="18" t="s">
        <v>7421</v>
      </c>
      <c r="D563" s="18"/>
      <c r="E563" s="19">
        <v>2232</v>
      </c>
      <c r="F563" s="18"/>
      <c r="G563" s="18" t="s">
        <v>1608</v>
      </c>
      <c r="H563" s="18" t="s">
        <v>7032</v>
      </c>
      <c r="I563" s="24">
        <v>41338</v>
      </c>
      <c r="J563" s="18" t="s">
        <v>11</v>
      </c>
      <c r="K563" s="18" t="s">
        <v>181</v>
      </c>
      <c r="L563" s="18" t="s">
        <v>8740</v>
      </c>
      <c r="M563" s="18"/>
      <c r="N563" s="18" t="s">
        <v>11</v>
      </c>
      <c r="O563" s="18" t="s">
        <v>11</v>
      </c>
      <c r="P563" s="18" t="s">
        <v>8741</v>
      </c>
      <c r="Q563" s="18" t="s">
        <v>8742</v>
      </c>
      <c r="R563" s="18" t="s">
        <v>8743</v>
      </c>
      <c r="S563" s="1" t="s">
        <v>6243</v>
      </c>
      <c r="T563" s="1">
        <f t="shared" si="27"/>
        <v>16490</v>
      </c>
      <c r="U563" s="1">
        <f t="shared" si="28"/>
        <v>14174</v>
      </c>
      <c r="V563" s="1">
        <f>1514+12660</f>
        <v>14174</v>
      </c>
      <c r="AH563" s="1">
        <f>SUM(AI563:AT563)</f>
        <v>2316</v>
      </c>
      <c r="AI563" s="1">
        <f>505+1811</f>
        <v>2316</v>
      </c>
    </row>
    <row r="564" spans="1:39" x14ac:dyDescent="0.2">
      <c r="A564" s="18" t="s">
        <v>9653</v>
      </c>
      <c r="B564" s="18">
        <v>23472185</v>
      </c>
      <c r="C564" s="18" t="s">
        <v>7421</v>
      </c>
      <c r="D564" s="18"/>
      <c r="E564" s="19">
        <v>62</v>
      </c>
      <c r="F564" s="18"/>
      <c r="G564" s="18" t="s">
        <v>9654</v>
      </c>
      <c r="H564" s="18" t="s">
        <v>7402</v>
      </c>
      <c r="I564" s="24">
        <v>41338</v>
      </c>
      <c r="J564" s="18" t="s">
        <v>11</v>
      </c>
      <c r="K564" s="18" t="s">
        <v>181</v>
      </c>
      <c r="L564" s="18" t="s">
        <v>9655</v>
      </c>
      <c r="M564" s="18"/>
      <c r="N564" s="18" t="s">
        <v>10</v>
      </c>
      <c r="O564" s="18" t="s">
        <v>10</v>
      </c>
      <c r="P564" s="18" t="s">
        <v>9656</v>
      </c>
      <c r="Q564" s="18" t="s">
        <v>9657</v>
      </c>
      <c r="R564" s="18" t="s">
        <v>9658</v>
      </c>
      <c r="S564" s="1" t="s">
        <v>6243</v>
      </c>
      <c r="T564" s="1">
        <f t="shared" ref="T564:T627" si="29">SUM(U564,AH564)</f>
        <v>4931</v>
      </c>
      <c r="U564" s="1">
        <f t="shared" ref="U564:U627" si="30">SUM(V564:AG564)</f>
        <v>1528</v>
      </c>
      <c r="V564" s="1">
        <f>1367+161</f>
        <v>1528</v>
      </c>
      <c r="AH564" s="1">
        <f>SUM(AI564:AT564)</f>
        <v>3403</v>
      </c>
      <c r="AI564" s="1">
        <f>3029+374</f>
        <v>3403</v>
      </c>
    </row>
    <row r="565" spans="1:39" x14ac:dyDescent="0.2">
      <c r="A565" s="18" t="s">
        <v>8949</v>
      </c>
      <c r="B565" s="18">
        <v>23474282</v>
      </c>
      <c r="C565" s="18" t="s">
        <v>7421</v>
      </c>
      <c r="D565" s="18"/>
      <c r="E565" s="19">
        <v>86598</v>
      </c>
      <c r="F565" s="18">
        <v>1</v>
      </c>
      <c r="G565" s="18" t="s">
        <v>8950</v>
      </c>
      <c r="H565" s="18" t="s">
        <v>8951</v>
      </c>
      <c r="I565" s="24">
        <v>41339</v>
      </c>
      <c r="J565" s="18" t="s">
        <v>10</v>
      </c>
      <c r="K565" s="18" t="s">
        <v>477</v>
      </c>
      <c r="L565" s="18" t="s">
        <v>8952</v>
      </c>
      <c r="M565" s="18"/>
      <c r="N565" s="18" t="s">
        <v>10</v>
      </c>
      <c r="O565" s="18" t="s">
        <v>10</v>
      </c>
      <c r="P565" s="18" t="s">
        <v>8953</v>
      </c>
      <c r="Q565" s="18" t="s">
        <v>33</v>
      </c>
      <c r="R565" s="18" t="s">
        <v>8954</v>
      </c>
      <c r="S565" s="1" t="s">
        <v>6244</v>
      </c>
      <c r="T565" s="1">
        <f t="shared" si="29"/>
        <v>173</v>
      </c>
      <c r="U565" s="1">
        <f t="shared" si="30"/>
        <v>173</v>
      </c>
      <c r="V565" s="1">
        <v>153</v>
      </c>
      <c r="W565" s="1">
        <v>2</v>
      </c>
      <c r="X565" s="1">
        <v>18</v>
      </c>
    </row>
    <row r="566" spans="1:39" x14ac:dyDescent="0.2">
      <c r="A566" s="18" t="s">
        <v>10242</v>
      </c>
      <c r="B566" s="18">
        <v>23474815</v>
      </c>
      <c r="C566" s="18" t="s">
        <v>7421</v>
      </c>
      <c r="D566" s="18"/>
      <c r="E566" s="19">
        <v>129552</v>
      </c>
      <c r="F566" s="18"/>
      <c r="G566" s="18" t="s">
        <v>10243</v>
      </c>
      <c r="H566" s="18" t="s">
        <v>1102</v>
      </c>
      <c r="I566" s="24">
        <v>41360</v>
      </c>
      <c r="J566" s="18" t="s">
        <v>11</v>
      </c>
      <c r="K566" s="18" t="s">
        <v>103</v>
      </c>
      <c r="L566" s="18" t="s">
        <v>10244</v>
      </c>
      <c r="M566" s="18"/>
      <c r="N566" s="18" t="s">
        <v>10</v>
      </c>
      <c r="O566" s="18" t="s">
        <v>10</v>
      </c>
      <c r="P566" s="18" t="s">
        <v>10245</v>
      </c>
      <c r="Q566" s="18" t="s">
        <v>10246</v>
      </c>
      <c r="R566" s="18" t="s">
        <v>10247</v>
      </c>
      <c r="S566" s="1" t="s">
        <v>6243</v>
      </c>
      <c r="T566" s="1">
        <f t="shared" si="29"/>
        <v>27043</v>
      </c>
      <c r="U566" s="1">
        <f t="shared" si="30"/>
        <v>7280</v>
      </c>
      <c r="V566" s="1">
        <f>6597+683</f>
        <v>7280</v>
      </c>
      <c r="AH566" s="1">
        <f>SUM(AI566:AT566)</f>
        <v>19763</v>
      </c>
      <c r="AI566" s="1">
        <v>19763</v>
      </c>
    </row>
    <row r="567" spans="1:39" x14ac:dyDescent="0.2">
      <c r="A567" s="18" t="s">
        <v>8859</v>
      </c>
      <c r="B567" s="18">
        <v>23477746</v>
      </c>
      <c r="C567" s="18" t="s">
        <v>7421</v>
      </c>
      <c r="D567" s="18"/>
      <c r="E567" s="19">
        <v>127</v>
      </c>
      <c r="F567" s="18"/>
      <c r="G567" s="18" t="s">
        <v>8860</v>
      </c>
      <c r="H567" s="18" t="s">
        <v>8861</v>
      </c>
      <c r="I567" s="24">
        <v>41323</v>
      </c>
      <c r="J567" s="18" t="s">
        <v>10</v>
      </c>
      <c r="K567" s="18" t="s">
        <v>816</v>
      </c>
      <c r="L567" s="18" t="s">
        <v>8862</v>
      </c>
      <c r="M567" s="18"/>
      <c r="N567" s="18" t="s">
        <v>10</v>
      </c>
      <c r="O567" s="18" t="s">
        <v>10</v>
      </c>
      <c r="P567" s="18" t="s">
        <v>8863</v>
      </c>
      <c r="Q567" s="18" t="s">
        <v>33</v>
      </c>
      <c r="R567" s="18" t="s">
        <v>8864</v>
      </c>
      <c r="S567" s="1" t="s">
        <v>6243</v>
      </c>
      <c r="T567" s="1">
        <f t="shared" si="29"/>
        <v>2597</v>
      </c>
      <c r="U567" s="1">
        <f t="shared" si="30"/>
        <v>2597</v>
      </c>
      <c r="V567" s="1">
        <v>2597</v>
      </c>
    </row>
    <row r="568" spans="1:39" x14ac:dyDescent="0.2">
      <c r="A568" s="18" t="s">
        <v>8913</v>
      </c>
      <c r="B568" s="18">
        <v>23478400</v>
      </c>
      <c r="C568" s="18" t="s">
        <v>7421</v>
      </c>
      <c r="D568" s="18">
        <v>1</v>
      </c>
      <c r="E568" s="19">
        <v>0</v>
      </c>
      <c r="F568" s="18">
        <v>1</v>
      </c>
      <c r="G568" s="18" t="s">
        <v>8914</v>
      </c>
      <c r="H568" s="18" t="s">
        <v>7347</v>
      </c>
      <c r="I568" s="24">
        <v>41344</v>
      </c>
      <c r="J568" s="18" t="s">
        <v>10</v>
      </c>
      <c r="K568" s="18" t="s">
        <v>1817</v>
      </c>
      <c r="L568" s="18" t="s">
        <v>8915</v>
      </c>
      <c r="M568" s="18"/>
      <c r="N568" s="18" t="s">
        <v>10</v>
      </c>
      <c r="O568" s="18" t="s">
        <v>10</v>
      </c>
      <c r="P568" s="18" t="s">
        <v>8916</v>
      </c>
      <c r="Q568" s="18" t="s">
        <v>33</v>
      </c>
      <c r="R568" s="18" t="s">
        <v>8917</v>
      </c>
      <c r="S568" s="1" t="s">
        <v>6243</v>
      </c>
      <c r="T568" s="1">
        <f t="shared" si="29"/>
        <v>58</v>
      </c>
      <c r="U568" s="1">
        <f t="shared" si="30"/>
        <v>58</v>
      </c>
      <c r="V568" s="1">
        <v>58</v>
      </c>
    </row>
    <row r="569" spans="1:39" x14ac:dyDescent="0.2">
      <c r="A569" s="18" t="s">
        <v>1127</v>
      </c>
      <c r="B569" s="18">
        <v>23478653</v>
      </c>
      <c r="C569" s="18" t="s">
        <v>7421</v>
      </c>
      <c r="D569" s="18"/>
      <c r="E569" s="19">
        <v>44</v>
      </c>
      <c r="F569" s="18"/>
      <c r="G569" s="18" t="s">
        <v>9469</v>
      </c>
      <c r="H569" s="18" t="s">
        <v>7090</v>
      </c>
      <c r="I569" s="24">
        <v>41345</v>
      </c>
      <c r="J569" s="18" t="s">
        <v>11</v>
      </c>
      <c r="K569" s="18" t="s">
        <v>113</v>
      </c>
      <c r="L569" s="18" t="s">
        <v>9470</v>
      </c>
      <c r="M569" s="18"/>
      <c r="N569" s="18" t="s">
        <v>10</v>
      </c>
      <c r="O569" s="18" t="s">
        <v>10</v>
      </c>
      <c r="P569" s="18" t="s">
        <v>9471</v>
      </c>
      <c r="Q569" s="18" t="s">
        <v>33</v>
      </c>
      <c r="R569" s="18" t="s">
        <v>9472</v>
      </c>
      <c r="S569" s="1" t="s">
        <v>6242</v>
      </c>
      <c r="T569" s="1">
        <f t="shared" si="29"/>
        <v>139</v>
      </c>
      <c r="U569" s="1">
        <f t="shared" si="30"/>
        <v>139</v>
      </c>
      <c r="X569" s="1">
        <v>139</v>
      </c>
    </row>
    <row r="570" spans="1:39" x14ac:dyDescent="0.2">
      <c r="A570" s="18" t="s">
        <v>1431</v>
      </c>
      <c r="B570" s="18">
        <v>23482656</v>
      </c>
      <c r="C570" s="18" t="s">
        <v>7421</v>
      </c>
      <c r="D570" s="18"/>
      <c r="E570" s="19">
        <v>56</v>
      </c>
      <c r="F570" s="18"/>
      <c r="G570" s="18" t="s">
        <v>2524</v>
      </c>
      <c r="H570" s="18" t="s">
        <v>6680</v>
      </c>
      <c r="I570" s="24">
        <v>41345</v>
      </c>
      <c r="J570" s="18" t="s">
        <v>11</v>
      </c>
      <c r="K570" s="18" t="s">
        <v>311</v>
      </c>
      <c r="L570" s="18" t="s">
        <v>8298</v>
      </c>
      <c r="M570" s="18"/>
      <c r="N570" s="18" t="s">
        <v>11</v>
      </c>
      <c r="O570" s="18" t="s">
        <v>11</v>
      </c>
      <c r="P570" s="18" t="s">
        <v>8299</v>
      </c>
      <c r="Q570" s="18" t="s">
        <v>8300</v>
      </c>
      <c r="R570" s="18" t="s">
        <v>8301</v>
      </c>
      <c r="S570" s="1" t="s">
        <v>6243</v>
      </c>
      <c r="T570" s="1">
        <f t="shared" si="29"/>
        <v>7180</v>
      </c>
      <c r="U570" s="1">
        <f t="shared" si="30"/>
        <v>4982</v>
      </c>
      <c r="V570" s="1">
        <f>1034+3948</f>
        <v>4982</v>
      </c>
      <c r="AH570" s="1">
        <f>SUM(AI570:AT570)</f>
        <v>2198</v>
      </c>
      <c r="AI570" s="1">
        <f>1140+1058</f>
        <v>2198</v>
      </c>
    </row>
    <row r="571" spans="1:39" x14ac:dyDescent="0.2">
      <c r="A571" s="18" t="s">
        <v>8796</v>
      </c>
      <c r="B571" s="18">
        <v>23486544</v>
      </c>
      <c r="C571" s="18" t="s">
        <v>7421</v>
      </c>
      <c r="D571" s="18"/>
      <c r="E571" s="19">
        <v>17</v>
      </c>
      <c r="F571" s="18"/>
      <c r="G571" s="18" t="s">
        <v>1506</v>
      </c>
      <c r="H571" s="18" t="s">
        <v>188</v>
      </c>
      <c r="I571" s="24">
        <v>41346</v>
      </c>
      <c r="J571" s="18" t="s">
        <v>10</v>
      </c>
      <c r="K571" s="18" t="s">
        <v>592</v>
      </c>
      <c r="L571" s="18" t="s">
        <v>8797</v>
      </c>
      <c r="M571" s="18"/>
      <c r="N571" s="18" t="s">
        <v>10</v>
      </c>
      <c r="O571" s="18" t="s">
        <v>10</v>
      </c>
      <c r="P571" s="18" t="s">
        <v>8798</v>
      </c>
      <c r="Q571" s="18" t="s">
        <v>33</v>
      </c>
      <c r="R571" s="18" t="s">
        <v>8799</v>
      </c>
      <c r="S571" s="1" t="s">
        <v>6244</v>
      </c>
      <c r="T571" s="1">
        <f t="shared" si="29"/>
        <v>710</v>
      </c>
      <c r="U571" s="1">
        <f t="shared" si="30"/>
        <v>710</v>
      </c>
      <c r="AD571" s="1">
        <v>710</v>
      </c>
    </row>
    <row r="572" spans="1:39" x14ac:dyDescent="0.2">
      <c r="A572" s="18" t="s">
        <v>8828</v>
      </c>
      <c r="B572" s="18">
        <v>23487342</v>
      </c>
      <c r="C572" s="18" t="s">
        <v>7421</v>
      </c>
      <c r="D572" s="18"/>
      <c r="E572" s="19">
        <v>12</v>
      </c>
      <c r="F572" s="18"/>
      <c r="G572" s="18" t="s">
        <v>453</v>
      </c>
      <c r="H572" s="18" t="s">
        <v>7381</v>
      </c>
      <c r="I572" s="24">
        <v>41337</v>
      </c>
      <c r="J572" s="18" t="s">
        <v>10</v>
      </c>
      <c r="K572" s="18" t="s">
        <v>8829</v>
      </c>
      <c r="L572" s="18" t="s">
        <v>8830</v>
      </c>
      <c r="M572" s="18"/>
      <c r="N572" s="18" t="s">
        <v>10</v>
      </c>
      <c r="O572" s="18" t="s">
        <v>10</v>
      </c>
      <c r="P572" s="18" t="s">
        <v>8831</v>
      </c>
      <c r="Q572" s="18" t="s">
        <v>33</v>
      </c>
      <c r="R572" s="18" t="s">
        <v>8832</v>
      </c>
      <c r="S572" s="1" t="s">
        <v>6242</v>
      </c>
      <c r="T572" s="1">
        <f t="shared" si="29"/>
        <v>1754</v>
      </c>
      <c r="U572" s="1">
        <f t="shared" si="30"/>
        <v>1754</v>
      </c>
      <c r="X572" s="1">
        <v>1754</v>
      </c>
    </row>
    <row r="573" spans="1:39" x14ac:dyDescent="0.2">
      <c r="A573" s="18" t="s">
        <v>8259</v>
      </c>
      <c r="B573" s="18">
        <v>23487405</v>
      </c>
      <c r="C573" s="18" t="s">
        <v>7421</v>
      </c>
      <c r="D573" s="18"/>
      <c r="E573" s="19">
        <v>479</v>
      </c>
      <c r="F573" s="18"/>
      <c r="G573" s="18" t="s">
        <v>8260</v>
      </c>
      <c r="H573" s="18" t="s">
        <v>7244</v>
      </c>
      <c r="I573" s="24">
        <v>41346</v>
      </c>
      <c r="J573" s="18" t="s">
        <v>10</v>
      </c>
      <c r="K573" s="18" t="s">
        <v>551</v>
      </c>
      <c r="L573" s="18" t="s">
        <v>8261</v>
      </c>
      <c r="M573" s="18"/>
      <c r="N573" s="18" t="s">
        <v>10</v>
      </c>
      <c r="O573" s="18" t="s">
        <v>10</v>
      </c>
      <c r="P573" s="18" t="s">
        <v>8262</v>
      </c>
      <c r="Q573" s="18" t="s">
        <v>33</v>
      </c>
      <c r="R573" s="18" t="s">
        <v>8263</v>
      </c>
      <c r="S573" s="1" t="s">
        <v>6270</v>
      </c>
      <c r="T573" s="1">
        <f t="shared" si="29"/>
        <v>772</v>
      </c>
      <c r="U573" s="1">
        <f t="shared" si="30"/>
        <v>772</v>
      </c>
      <c r="Z573" s="1">
        <v>772</v>
      </c>
    </row>
    <row r="574" spans="1:39" x14ac:dyDescent="0.2">
      <c r="A574" s="18" t="s">
        <v>10197</v>
      </c>
      <c r="B574" s="18">
        <v>23487758</v>
      </c>
      <c r="C574" s="18" t="s">
        <v>7421</v>
      </c>
      <c r="D574" s="18"/>
      <c r="E574" s="19">
        <v>34</v>
      </c>
      <c r="F574" s="18">
        <v>1</v>
      </c>
      <c r="G574" s="18" t="s">
        <v>10198</v>
      </c>
      <c r="H574" s="18" t="s">
        <v>10199</v>
      </c>
      <c r="I574" s="24">
        <v>41337</v>
      </c>
      <c r="J574" s="18" t="s">
        <v>10</v>
      </c>
      <c r="K574" s="18" t="s">
        <v>210</v>
      </c>
      <c r="L574" s="18" t="s">
        <v>10200</v>
      </c>
      <c r="M574" s="18"/>
      <c r="N574" s="18" t="s">
        <v>10</v>
      </c>
      <c r="O574" s="18" t="s">
        <v>10</v>
      </c>
      <c r="P574" s="18" t="s">
        <v>10201</v>
      </c>
      <c r="Q574" s="18" t="s">
        <v>10202</v>
      </c>
      <c r="R574" s="18" t="s">
        <v>10203</v>
      </c>
      <c r="S574" s="1" t="s">
        <v>6243</v>
      </c>
      <c r="T574" s="1">
        <f t="shared" si="29"/>
        <v>1069</v>
      </c>
      <c r="U574" s="1">
        <f t="shared" si="30"/>
        <v>719</v>
      </c>
      <c r="V574" s="1">
        <v>719</v>
      </c>
      <c r="AH574" s="1">
        <f>SUM(AI574:AT574)</f>
        <v>350</v>
      </c>
      <c r="AI574" s="1">
        <v>350</v>
      </c>
    </row>
    <row r="575" spans="1:39" x14ac:dyDescent="0.2">
      <c r="A575" s="18" t="s">
        <v>1135</v>
      </c>
      <c r="B575" s="18">
        <v>23490283</v>
      </c>
      <c r="C575" s="18" t="s">
        <v>7421</v>
      </c>
      <c r="D575" s="18"/>
      <c r="E575" s="19">
        <v>252</v>
      </c>
      <c r="F575" s="18"/>
      <c r="G575" s="18" t="s">
        <v>10100</v>
      </c>
      <c r="H575" s="18" t="s">
        <v>10101</v>
      </c>
      <c r="I575" s="24">
        <v>41346</v>
      </c>
      <c r="J575" s="18" t="s">
        <v>10</v>
      </c>
      <c r="K575" s="18" t="s">
        <v>1886</v>
      </c>
      <c r="L575" s="18" t="s">
        <v>10102</v>
      </c>
      <c r="M575" s="18"/>
      <c r="N575" s="18" t="s">
        <v>10</v>
      </c>
      <c r="O575" s="18" t="s">
        <v>10</v>
      </c>
      <c r="P575" s="18" t="s">
        <v>10103</v>
      </c>
      <c r="Q575" s="18" t="s">
        <v>10104</v>
      </c>
      <c r="R575" s="18" t="s">
        <v>10105</v>
      </c>
      <c r="S575" s="1" t="s">
        <v>6242</v>
      </c>
      <c r="T575" s="1">
        <f t="shared" si="29"/>
        <v>113</v>
      </c>
      <c r="U575" s="1">
        <f t="shared" si="30"/>
        <v>43</v>
      </c>
      <c r="X575" s="1">
        <v>43</v>
      </c>
      <c r="AH575" s="1">
        <f>SUM(AI575:AT575)</f>
        <v>70</v>
      </c>
      <c r="AK575" s="1">
        <v>70</v>
      </c>
    </row>
    <row r="576" spans="1:39" x14ac:dyDescent="0.2">
      <c r="A576" s="18" t="s">
        <v>8279</v>
      </c>
      <c r="B576" s="18">
        <v>23493294</v>
      </c>
      <c r="C576" s="18" t="s">
        <v>7421</v>
      </c>
      <c r="D576" s="18"/>
      <c r="E576" s="19">
        <v>8</v>
      </c>
      <c r="F576" s="18"/>
      <c r="G576" s="18" t="s">
        <v>8280</v>
      </c>
      <c r="H576" s="18" t="s">
        <v>7334</v>
      </c>
      <c r="I576" s="24">
        <v>41365</v>
      </c>
      <c r="J576" s="18" t="s">
        <v>11</v>
      </c>
      <c r="K576" s="18" t="s">
        <v>3232</v>
      </c>
      <c r="L576" s="18" t="s">
        <v>8281</v>
      </c>
      <c r="M576" s="18"/>
      <c r="N576" s="18" t="s">
        <v>10</v>
      </c>
      <c r="O576" s="18" t="s">
        <v>10</v>
      </c>
      <c r="P576" s="18" t="s">
        <v>8282</v>
      </c>
      <c r="Q576" s="18" t="s">
        <v>8283</v>
      </c>
      <c r="R576" s="18" t="s">
        <v>8284</v>
      </c>
      <c r="S576" s="1" t="s">
        <v>6270</v>
      </c>
      <c r="T576" s="1">
        <f t="shared" si="29"/>
        <v>1768</v>
      </c>
      <c r="U576" s="1">
        <f t="shared" si="30"/>
        <v>1644</v>
      </c>
      <c r="Z576" s="1">
        <v>1644</v>
      </c>
      <c r="AH576" s="1">
        <f>SUM(AI576:AT576)</f>
        <v>124</v>
      </c>
      <c r="AM576" s="1">
        <v>124</v>
      </c>
    </row>
    <row r="577" spans="1:44" x14ac:dyDescent="0.2">
      <c r="A577" s="18" t="s">
        <v>9701</v>
      </c>
      <c r="B577" s="18">
        <v>23496005</v>
      </c>
      <c r="C577" s="18" t="s">
        <v>7421</v>
      </c>
      <c r="D577" s="18"/>
      <c r="E577" s="19">
        <v>13</v>
      </c>
      <c r="F577" s="18"/>
      <c r="G577" s="18" t="s">
        <v>9702</v>
      </c>
      <c r="H577" s="18" t="s">
        <v>268</v>
      </c>
      <c r="I577" s="24">
        <v>41351</v>
      </c>
      <c r="J577" s="18" t="s">
        <v>11</v>
      </c>
      <c r="K577" s="18" t="s">
        <v>9703</v>
      </c>
      <c r="L577" s="18" t="s">
        <v>9704</v>
      </c>
      <c r="M577" s="18"/>
      <c r="N577" s="18" t="s">
        <v>10</v>
      </c>
      <c r="O577" s="18" t="s">
        <v>10</v>
      </c>
      <c r="P577" s="18" t="s">
        <v>9705</v>
      </c>
      <c r="Q577" s="18" t="s">
        <v>9706</v>
      </c>
      <c r="R577" s="18" t="s">
        <v>10953</v>
      </c>
      <c r="S577" s="1" t="s">
        <v>6243</v>
      </c>
      <c r="T577" s="1">
        <f t="shared" si="29"/>
        <v>972</v>
      </c>
      <c r="U577" s="1">
        <f t="shared" si="30"/>
        <v>585</v>
      </c>
      <c r="V577" s="1">
        <v>585</v>
      </c>
      <c r="AH577" s="1">
        <f>SUM(AI577:AT577)</f>
        <v>387</v>
      </c>
      <c r="AI577" s="1">
        <v>387</v>
      </c>
    </row>
    <row r="578" spans="1:44" x14ac:dyDescent="0.2">
      <c r="A578" s="18" t="s">
        <v>3085</v>
      </c>
      <c r="B578" s="18">
        <v>23502781</v>
      </c>
      <c r="C578" s="18" t="s">
        <v>7421</v>
      </c>
      <c r="D578" s="18"/>
      <c r="E578" s="19">
        <v>383</v>
      </c>
      <c r="F578" s="18"/>
      <c r="G578" s="18" t="s">
        <v>10217</v>
      </c>
      <c r="H578" s="18" t="s">
        <v>10218</v>
      </c>
      <c r="I578" s="24">
        <v>41350</v>
      </c>
      <c r="J578" s="18" t="s">
        <v>11</v>
      </c>
      <c r="K578" s="18" t="s">
        <v>28</v>
      </c>
      <c r="L578" s="18" t="s">
        <v>10219</v>
      </c>
      <c r="M578" s="18"/>
      <c r="N578" s="18" t="s">
        <v>10</v>
      </c>
      <c r="O578" s="18" t="s">
        <v>10</v>
      </c>
      <c r="P578" s="18" t="s">
        <v>10220</v>
      </c>
      <c r="Q578" s="18" t="s">
        <v>10221</v>
      </c>
      <c r="R578" s="18" t="s">
        <v>10222</v>
      </c>
      <c r="S578" s="1" t="s">
        <v>6243</v>
      </c>
      <c r="T578" s="1">
        <f t="shared" si="29"/>
        <v>2150</v>
      </c>
      <c r="U578" s="1">
        <f t="shared" si="30"/>
        <v>1408</v>
      </c>
      <c r="V578" s="1">
        <f>340+1068</f>
        <v>1408</v>
      </c>
      <c r="AH578" s="1">
        <f>SUM(AI578:AT578)</f>
        <v>742</v>
      </c>
      <c r="AR578" s="1">
        <f>285+457</f>
        <v>742</v>
      </c>
    </row>
    <row r="579" spans="1:44" x14ac:dyDescent="0.2">
      <c r="A579" s="18" t="s">
        <v>10609</v>
      </c>
      <c r="B579" s="18">
        <v>23502783</v>
      </c>
      <c r="C579" s="18" t="s">
        <v>7421</v>
      </c>
      <c r="D579" s="18"/>
      <c r="E579" s="19">
        <v>510</v>
      </c>
      <c r="F579" s="18"/>
      <c r="G579" s="18" t="s">
        <v>10610</v>
      </c>
      <c r="H579" s="18" t="s">
        <v>6622</v>
      </c>
      <c r="I579" s="24">
        <v>41350</v>
      </c>
      <c r="J579" s="18" t="s">
        <v>11</v>
      </c>
      <c r="K579" s="18" t="s">
        <v>28</v>
      </c>
      <c r="L579" s="18" t="s">
        <v>10611</v>
      </c>
      <c r="M579" s="18"/>
      <c r="N579" s="18" t="s">
        <v>10</v>
      </c>
      <c r="O579" s="18" t="s">
        <v>10</v>
      </c>
      <c r="P579" s="18" t="s">
        <v>10612</v>
      </c>
      <c r="Q579" s="18" t="s">
        <v>33</v>
      </c>
      <c r="R579" s="18" t="s">
        <v>10613</v>
      </c>
      <c r="S579" s="1" t="s">
        <v>6243</v>
      </c>
      <c r="T579" s="1">
        <f t="shared" si="29"/>
        <v>8966</v>
      </c>
      <c r="U579" s="1">
        <f t="shared" si="30"/>
        <v>8966</v>
      </c>
      <c r="V579" s="1">
        <f>1660+7306</f>
        <v>8966</v>
      </c>
    </row>
    <row r="580" spans="1:44" x14ac:dyDescent="0.2">
      <c r="A580" s="18" t="s">
        <v>9247</v>
      </c>
      <c r="B580" s="18">
        <v>23505291</v>
      </c>
      <c r="C580" s="18" t="s">
        <v>7421</v>
      </c>
      <c r="D580" s="18"/>
      <c r="E580" s="19">
        <v>103</v>
      </c>
      <c r="F580" s="18"/>
      <c r="G580" s="18" t="s">
        <v>9248</v>
      </c>
      <c r="H580" s="18" t="s">
        <v>9249</v>
      </c>
      <c r="I580" s="24">
        <v>41349</v>
      </c>
      <c r="J580" s="18" t="s">
        <v>10</v>
      </c>
      <c r="K580" s="18" t="s">
        <v>551</v>
      </c>
      <c r="L580" s="18" t="s">
        <v>9250</v>
      </c>
      <c r="M580" s="18"/>
      <c r="N580" s="18" t="s">
        <v>10</v>
      </c>
      <c r="O580" s="18" t="s">
        <v>10</v>
      </c>
      <c r="P580" s="18" t="s">
        <v>9251</v>
      </c>
      <c r="Q580" s="18" t="s">
        <v>33</v>
      </c>
      <c r="R580" s="18" t="s">
        <v>9252</v>
      </c>
      <c r="S580" s="1" t="s">
        <v>6243</v>
      </c>
      <c r="T580" s="1">
        <f t="shared" si="29"/>
        <v>8356</v>
      </c>
      <c r="U580" s="1">
        <f t="shared" si="30"/>
        <v>8356</v>
      </c>
      <c r="V580" s="1">
        <v>8356</v>
      </c>
    </row>
    <row r="581" spans="1:44" x14ac:dyDescent="0.2">
      <c r="A581" s="18" t="s">
        <v>9385</v>
      </c>
      <c r="B581" s="18">
        <v>23505323</v>
      </c>
      <c r="C581" s="18" t="s">
        <v>7421</v>
      </c>
      <c r="D581" s="18"/>
      <c r="E581" s="19">
        <v>1297</v>
      </c>
      <c r="F581" s="18"/>
      <c r="G581" s="18" t="s">
        <v>242</v>
      </c>
      <c r="H581" s="18" t="s">
        <v>7160</v>
      </c>
      <c r="I581" s="24">
        <v>41348</v>
      </c>
      <c r="J581" s="18" t="s">
        <v>11</v>
      </c>
      <c r="K581" s="18" t="s">
        <v>541</v>
      </c>
      <c r="L581" s="18" t="s">
        <v>9386</v>
      </c>
      <c r="M581" s="18"/>
      <c r="N581" s="18" t="s">
        <v>10</v>
      </c>
      <c r="O581" s="18" t="s">
        <v>10</v>
      </c>
      <c r="P581" s="18" t="s">
        <v>9387</v>
      </c>
      <c r="Q581" s="18" t="s">
        <v>9388</v>
      </c>
      <c r="R581" s="18" t="s">
        <v>9389</v>
      </c>
      <c r="S581" s="1" t="s">
        <v>6270</v>
      </c>
      <c r="T581" s="1">
        <f t="shared" si="29"/>
        <v>4361</v>
      </c>
      <c r="U581" s="1">
        <f t="shared" si="30"/>
        <v>2240</v>
      </c>
      <c r="Z581" s="1">
        <f>1122+1118</f>
        <v>2240</v>
      </c>
      <c r="AH581" s="1">
        <f>SUM(AI581:AT581)</f>
        <v>2121</v>
      </c>
      <c r="AM581" s="1">
        <f>1067+1054</f>
        <v>2121</v>
      </c>
    </row>
    <row r="582" spans="1:44" x14ac:dyDescent="0.2">
      <c r="A582" s="18" t="s">
        <v>7816</v>
      </c>
      <c r="B582" s="18">
        <v>23508266</v>
      </c>
      <c r="C582" s="18" t="s">
        <v>7421</v>
      </c>
      <c r="D582" s="18"/>
      <c r="E582" s="19">
        <v>17</v>
      </c>
      <c r="F582" s="18"/>
      <c r="G582" s="18" t="s">
        <v>7817</v>
      </c>
      <c r="H582" s="18" t="s">
        <v>7139</v>
      </c>
      <c r="I582" s="24">
        <v>41352</v>
      </c>
      <c r="J582" s="18" t="s">
        <v>11</v>
      </c>
      <c r="K582" s="18" t="s">
        <v>113</v>
      </c>
      <c r="L582" s="18" t="s">
        <v>7818</v>
      </c>
      <c r="M582" s="18"/>
      <c r="N582" s="18" t="s">
        <v>10</v>
      </c>
      <c r="O582" s="18" t="s">
        <v>10</v>
      </c>
      <c r="P582" s="18" t="s">
        <v>7819</v>
      </c>
      <c r="Q582" s="18" t="s">
        <v>7820</v>
      </c>
      <c r="R582" s="18" t="s">
        <v>7821</v>
      </c>
      <c r="S582" s="1" t="s">
        <v>6244</v>
      </c>
      <c r="T582" s="1">
        <f t="shared" si="29"/>
        <v>1759</v>
      </c>
      <c r="U582" s="1">
        <f t="shared" si="30"/>
        <v>403</v>
      </c>
      <c r="V582" s="1">
        <v>403</v>
      </c>
      <c r="AH582" s="1">
        <f>SUM(AI582:AT582)</f>
        <v>1356</v>
      </c>
      <c r="AI582" s="1">
        <v>764</v>
      </c>
      <c r="AM582" s="1">
        <v>592</v>
      </c>
    </row>
    <row r="583" spans="1:44" x14ac:dyDescent="0.2">
      <c r="A583" s="18" t="s">
        <v>10614</v>
      </c>
      <c r="B583" s="18">
        <v>23508821</v>
      </c>
      <c r="C583" s="18" t="s">
        <v>7421</v>
      </c>
      <c r="D583" s="18"/>
      <c r="E583" s="19">
        <v>26</v>
      </c>
      <c r="F583" s="18"/>
      <c r="G583" s="18" t="s">
        <v>10615</v>
      </c>
      <c r="H583" s="18" t="s">
        <v>7343</v>
      </c>
      <c r="I583" s="24">
        <v>41351</v>
      </c>
      <c r="J583" s="18" t="s">
        <v>10</v>
      </c>
      <c r="K583" s="18" t="s">
        <v>10616</v>
      </c>
      <c r="L583" s="18" t="s">
        <v>10617</v>
      </c>
      <c r="M583" s="18"/>
      <c r="N583" s="18" t="s">
        <v>10</v>
      </c>
      <c r="O583" s="18" t="s">
        <v>10</v>
      </c>
      <c r="P583" s="18" t="s">
        <v>10618</v>
      </c>
      <c r="Q583" s="18" t="s">
        <v>10619</v>
      </c>
      <c r="R583" s="18" t="s">
        <v>10962</v>
      </c>
      <c r="S583" s="1" t="s">
        <v>6243</v>
      </c>
      <c r="T583" s="1">
        <f t="shared" si="29"/>
        <v>305</v>
      </c>
      <c r="U583" s="1">
        <f t="shared" si="30"/>
        <v>60</v>
      </c>
      <c r="V583" s="1">
        <v>60</v>
      </c>
      <c r="AH583" s="1">
        <f>SUM(AI583:AT583)</f>
        <v>245</v>
      </c>
      <c r="AI583" s="1">
        <v>245</v>
      </c>
    </row>
    <row r="584" spans="1:44" x14ac:dyDescent="0.2">
      <c r="A584" s="18" t="s">
        <v>1195</v>
      </c>
      <c r="B584" s="18">
        <v>23508960</v>
      </c>
      <c r="C584" s="18" t="s">
        <v>7421</v>
      </c>
      <c r="D584" s="18"/>
      <c r="E584" s="19">
        <v>1</v>
      </c>
      <c r="F584" s="18"/>
      <c r="G584" s="18" t="s">
        <v>7778</v>
      </c>
      <c r="H584" s="18" t="s">
        <v>7779</v>
      </c>
      <c r="I584" s="24">
        <v>41351</v>
      </c>
      <c r="J584" s="18" t="s">
        <v>11</v>
      </c>
      <c r="K584" s="18" t="s">
        <v>7780</v>
      </c>
      <c r="L584" s="18" t="s">
        <v>7781</v>
      </c>
      <c r="M584" s="18"/>
      <c r="N584" s="18" t="s">
        <v>10</v>
      </c>
      <c r="O584" s="18" t="s">
        <v>10</v>
      </c>
      <c r="P584" s="18" t="s">
        <v>7782</v>
      </c>
      <c r="Q584" s="18" t="s">
        <v>33</v>
      </c>
      <c r="R584" s="18" t="s">
        <v>7783</v>
      </c>
      <c r="S584" s="1" t="s">
        <v>6243</v>
      </c>
      <c r="T584" s="1">
        <f t="shared" si="29"/>
        <v>2054</v>
      </c>
      <c r="U584" s="1">
        <f t="shared" si="30"/>
        <v>2054</v>
      </c>
      <c r="V584" s="1">
        <v>2054</v>
      </c>
    </row>
    <row r="585" spans="1:44" x14ac:dyDescent="0.2">
      <c r="A585" s="18" t="s">
        <v>3097</v>
      </c>
      <c r="B585" s="18">
        <v>23509613</v>
      </c>
      <c r="C585" s="18" t="s">
        <v>7421</v>
      </c>
      <c r="D585" s="18"/>
      <c r="E585" s="19">
        <v>201</v>
      </c>
      <c r="F585" s="18"/>
      <c r="G585" s="18" t="s">
        <v>7728</v>
      </c>
      <c r="H585" s="18" t="s">
        <v>7729</v>
      </c>
      <c r="I585" s="24">
        <v>41329</v>
      </c>
      <c r="J585" s="18" t="s">
        <v>11</v>
      </c>
      <c r="K585" s="18" t="s">
        <v>7730</v>
      </c>
      <c r="L585" s="18" t="s">
        <v>7731</v>
      </c>
      <c r="M585" s="18"/>
      <c r="N585" s="18" t="s">
        <v>10</v>
      </c>
      <c r="O585" s="18" t="s">
        <v>10</v>
      </c>
      <c r="P585" s="18" t="s">
        <v>7732</v>
      </c>
      <c r="Q585" s="18" t="s">
        <v>33</v>
      </c>
      <c r="R585" s="18" t="s">
        <v>7733</v>
      </c>
      <c r="S585" s="1" t="s">
        <v>6243</v>
      </c>
      <c r="T585" s="1">
        <f t="shared" si="29"/>
        <v>1874</v>
      </c>
      <c r="U585" s="1">
        <f t="shared" si="30"/>
        <v>1874</v>
      </c>
      <c r="V585" s="1">
        <f>183+487+127+581+136+360</f>
        <v>1874</v>
      </c>
    </row>
    <row r="586" spans="1:44" x14ac:dyDescent="0.2">
      <c r="A586" s="18" t="s">
        <v>227</v>
      </c>
      <c r="B586" s="18">
        <v>23511034</v>
      </c>
      <c r="C586" s="18" t="s">
        <v>7421</v>
      </c>
      <c r="D586" s="18"/>
      <c r="E586" s="19">
        <v>30</v>
      </c>
      <c r="F586" s="18"/>
      <c r="G586" s="18" t="s">
        <v>557</v>
      </c>
      <c r="H586" s="18" t="s">
        <v>558</v>
      </c>
      <c r="I586" s="24">
        <v>41377</v>
      </c>
      <c r="J586" s="18" t="s">
        <v>11</v>
      </c>
      <c r="K586" s="18" t="s">
        <v>2897</v>
      </c>
      <c r="L586" s="18" t="s">
        <v>10803</v>
      </c>
      <c r="M586" s="18"/>
      <c r="N586" s="18" t="s">
        <v>10</v>
      </c>
      <c r="O586" s="18" t="s">
        <v>10</v>
      </c>
      <c r="P586" s="18" t="s">
        <v>10804</v>
      </c>
      <c r="Q586" s="18" t="s">
        <v>10805</v>
      </c>
      <c r="R586" s="18" t="s">
        <v>10806</v>
      </c>
      <c r="S586" s="1" t="s">
        <v>6242</v>
      </c>
      <c r="T586" s="1">
        <f t="shared" si="29"/>
        <v>3646</v>
      </c>
      <c r="U586" s="1">
        <f t="shared" si="30"/>
        <v>1127</v>
      </c>
      <c r="X586" s="1">
        <f>388+739</f>
        <v>1127</v>
      </c>
      <c r="AH586" s="1">
        <f>SUM(AI586:AT586)</f>
        <v>2519</v>
      </c>
      <c r="AK586" s="1">
        <f>810+1709</f>
        <v>2519</v>
      </c>
    </row>
    <row r="587" spans="1:44" x14ac:dyDescent="0.2">
      <c r="A587" s="18" t="s">
        <v>2530</v>
      </c>
      <c r="B587" s="18">
        <v>23512250</v>
      </c>
      <c r="C587" s="18" t="s">
        <v>7421</v>
      </c>
      <c r="D587" s="18"/>
      <c r="E587" s="19">
        <v>85</v>
      </c>
      <c r="F587" s="18"/>
      <c r="G587" s="18" t="s">
        <v>6787</v>
      </c>
      <c r="H587" s="18" t="s">
        <v>6671</v>
      </c>
      <c r="I587" s="24">
        <v>41352</v>
      </c>
      <c r="J587" s="18" t="s">
        <v>11</v>
      </c>
      <c r="K587" s="18" t="s">
        <v>311</v>
      </c>
      <c r="L587" s="18" t="s">
        <v>9366</v>
      </c>
      <c r="M587" s="18"/>
      <c r="N587" s="18" t="s">
        <v>10</v>
      </c>
      <c r="O587" s="18" t="s">
        <v>10</v>
      </c>
      <c r="P587" s="18" t="s">
        <v>9367</v>
      </c>
      <c r="Q587" s="18" t="s">
        <v>9368</v>
      </c>
      <c r="R587" s="18" t="s">
        <v>9369</v>
      </c>
      <c r="S587" s="1" t="s">
        <v>6244</v>
      </c>
      <c r="T587" s="1">
        <f t="shared" si="29"/>
        <v>10284</v>
      </c>
      <c r="U587" s="1">
        <f t="shared" si="30"/>
        <v>5123</v>
      </c>
      <c r="V587" s="1">
        <f>972+1386</f>
        <v>2358</v>
      </c>
      <c r="W587" s="1">
        <f>1363+89</f>
        <v>1452</v>
      </c>
      <c r="Z587" s="1">
        <f>305+1008</f>
        <v>1313</v>
      </c>
      <c r="AH587" s="1">
        <f>SUM(AI587:AT587)</f>
        <v>5161</v>
      </c>
      <c r="AI587" s="1">
        <f>574+2601</f>
        <v>3175</v>
      </c>
      <c r="AJ587" s="1">
        <f>1075+128</f>
        <v>1203</v>
      </c>
      <c r="AM587" s="1">
        <f>640+143</f>
        <v>783</v>
      </c>
    </row>
    <row r="588" spans="1:44" x14ac:dyDescent="0.2">
      <c r="A588" s="18" t="s">
        <v>8056</v>
      </c>
      <c r="B588" s="18">
        <v>23517042</v>
      </c>
      <c r="C588" s="18" t="s">
        <v>7421</v>
      </c>
      <c r="D588" s="18"/>
      <c r="E588" s="19">
        <v>40</v>
      </c>
      <c r="F588" s="18"/>
      <c r="G588" s="18" t="s">
        <v>8057</v>
      </c>
      <c r="H588" s="18" t="s">
        <v>8058</v>
      </c>
      <c r="I588" s="24">
        <v>41377</v>
      </c>
      <c r="J588" s="18" t="s">
        <v>11</v>
      </c>
      <c r="K588" s="18" t="s">
        <v>711</v>
      </c>
      <c r="L588" s="18" t="s">
        <v>8059</v>
      </c>
      <c r="M588" s="18"/>
      <c r="N588" s="18" t="s">
        <v>10</v>
      </c>
      <c r="O588" s="18" t="s">
        <v>10</v>
      </c>
      <c r="P588" s="18" t="s">
        <v>8060</v>
      </c>
      <c r="Q588" s="18" t="s">
        <v>8061</v>
      </c>
      <c r="R588" s="18" t="s">
        <v>8062</v>
      </c>
      <c r="S588" s="1" t="s">
        <v>6244</v>
      </c>
      <c r="T588" s="1">
        <f t="shared" si="29"/>
        <v>4711</v>
      </c>
      <c r="U588" s="1">
        <f t="shared" si="30"/>
        <v>2691</v>
      </c>
      <c r="V588" s="1">
        <v>1881</v>
      </c>
      <c r="AD588" s="1">
        <v>810</v>
      </c>
      <c r="AH588" s="1">
        <f>SUM(AI588:AT588)</f>
        <v>2020</v>
      </c>
      <c r="AI588" s="1">
        <v>979</v>
      </c>
      <c r="AM588" s="1">
        <v>921</v>
      </c>
      <c r="AR588" s="1">
        <v>120</v>
      </c>
    </row>
    <row r="589" spans="1:44" x14ac:dyDescent="0.2">
      <c r="A589" s="18" t="s">
        <v>45</v>
      </c>
      <c r="B589" s="18">
        <v>23518928</v>
      </c>
      <c r="C589" s="18" t="s">
        <v>7421</v>
      </c>
      <c r="D589" s="18"/>
      <c r="E589" s="19">
        <v>42</v>
      </c>
      <c r="F589" s="18"/>
      <c r="G589" s="18" t="s">
        <v>8185</v>
      </c>
      <c r="H589" s="18" t="s">
        <v>8186</v>
      </c>
      <c r="I589" s="24">
        <v>41354</v>
      </c>
      <c r="J589" s="18" t="s">
        <v>11</v>
      </c>
      <c r="K589" s="18" t="s">
        <v>8187</v>
      </c>
      <c r="L589" s="18" t="s">
        <v>8188</v>
      </c>
      <c r="M589" s="18"/>
      <c r="N589" s="18" t="s">
        <v>11</v>
      </c>
      <c r="O589" s="18" t="s">
        <v>11</v>
      </c>
      <c r="P589" s="18" t="s">
        <v>8189</v>
      </c>
      <c r="Q589" s="18" t="s">
        <v>33</v>
      </c>
      <c r="R589" s="18" t="s">
        <v>8190</v>
      </c>
      <c r="S589" s="1" t="s">
        <v>6244</v>
      </c>
      <c r="T589" s="1">
        <f t="shared" si="29"/>
        <v>772</v>
      </c>
      <c r="U589" s="1">
        <f t="shared" si="30"/>
        <v>772</v>
      </c>
      <c r="V589" s="1">
        <v>700</v>
      </c>
      <c r="W589" s="1">
        <v>50</v>
      </c>
      <c r="X589" s="1">
        <v>17</v>
      </c>
      <c r="AA589" s="1">
        <v>5</v>
      </c>
    </row>
    <row r="590" spans="1:44" x14ac:dyDescent="0.2">
      <c r="A590" s="18" t="s">
        <v>1220</v>
      </c>
      <c r="B590" s="18">
        <v>23527081</v>
      </c>
      <c r="C590" s="18" t="s">
        <v>7421</v>
      </c>
      <c r="D590" s="18"/>
      <c r="E590" s="19">
        <v>13</v>
      </c>
      <c r="F590" s="18"/>
      <c r="G590" s="18" t="s">
        <v>9489</v>
      </c>
      <c r="H590" s="18" t="s">
        <v>9490</v>
      </c>
      <c r="I590" s="24">
        <v>41352</v>
      </c>
      <c r="J590" s="18" t="s">
        <v>10</v>
      </c>
      <c r="K590" s="18" t="s">
        <v>181</v>
      </c>
      <c r="L590" s="18" t="s">
        <v>9491</v>
      </c>
      <c r="M590" s="18"/>
      <c r="N590" s="18" t="s">
        <v>11</v>
      </c>
      <c r="O590" s="18" t="s">
        <v>11</v>
      </c>
      <c r="P590" s="18" t="s">
        <v>10948</v>
      </c>
      <c r="Q590" s="18" t="s">
        <v>33</v>
      </c>
      <c r="R590" s="18" t="s">
        <v>9492</v>
      </c>
      <c r="S590" s="1" t="s">
        <v>6242</v>
      </c>
      <c r="T590" s="1">
        <f t="shared" si="29"/>
        <v>301</v>
      </c>
      <c r="U590" s="1">
        <f t="shared" si="30"/>
        <v>301</v>
      </c>
      <c r="X590" s="1">
        <v>301</v>
      </c>
    </row>
    <row r="591" spans="1:44" x14ac:dyDescent="0.2">
      <c r="A591" s="18" t="s">
        <v>7460</v>
      </c>
      <c r="B591" s="18">
        <v>23527680</v>
      </c>
      <c r="C591" s="18" t="s">
        <v>7421</v>
      </c>
      <c r="D591" s="18"/>
      <c r="E591" s="19">
        <v>214</v>
      </c>
      <c r="F591" s="18"/>
      <c r="G591" s="18" t="s">
        <v>7461</v>
      </c>
      <c r="H591" s="18" t="s">
        <v>7127</v>
      </c>
      <c r="I591" s="24">
        <v>41377</v>
      </c>
      <c r="J591" s="18" t="s">
        <v>11</v>
      </c>
      <c r="K591" s="18" t="s">
        <v>1408</v>
      </c>
      <c r="L591" s="18" t="s">
        <v>7462</v>
      </c>
      <c r="M591" s="18"/>
      <c r="N591" s="18" t="s">
        <v>10</v>
      </c>
      <c r="O591" s="18" t="s">
        <v>10</v>
      </c>
      <c r="P591" s="18" t="s">
        <v>10920</v>
      </c>
      <c r="Q591" s="18" t="s">
        <v>10921</v>
      </c>
      <c r="R591" s="18" t="s">
        <v>7463</v>
      </c>
      <c r="S591" s="1" t="s">
        <v>6243</v>
      </c>
      <c r="T591" s="1">
        <f t="shared" si="29"/>
        <v>2006</v>
      </c>
      <c r="U591" s="1">
        <f t="shared" si="30"/>
        <v>1851</v>
      </c>
      <c r="V591" s="1">
        <v>1851</v>
      </c>
      <c r="AH591" s="1">
        <f>SUM(AI591:AT591)</f>
        <v>155</v>
      </c>
      <c r="AI591" s="1">
        <v>155</v>
      </c>
    </row>
    <row r="592" spans="1:44" x14ac:dyDescent="0.2">
      <c r="A592" s="18" t="s">
        <v>1418</v>
      </c>
      <c r="B592" s="18">
        <v>23532257</v>
      </c>
      <c r="C592" s="18" t="s">
        <v>7421</v>
      </c>
      <c r="D592" s="18"/>
      <c r="E592" s="19">
        <v>47</v>
      </c>
      <c r="F592" s="18"/>
      <c r="G592" s="18" t="s">
        <v>61</v>
      </c>
      <c r="H592" s="18" t="s">
        <v>7396</v>
      </c>
      <c r="I592" s="24">
        <v>41360</v>
      </c>
      <c r="J592" s="18" t="s">
        <v>11</v>
      </c>
      <c r="K592" s="18" t="s">
        <v>862</v>
      </c>
      <c r="L592" s="18" t="s">
        <v>10755</v>
      </c>
      <c r="M592" s="18"/>
      <c r="N592" s="18" t="s">
        <v>10</v>
      </c>
      <c r="O592" s="18" t="s">
        <v>10</v>
      </c>
      <c r="P592" s="18" t="s">
        <v>10756</v>
      </c>
      <c r="Q592" s="18" t="s">
        <v>10757</v>
      </c>
      <c r="R592" s="18" t="s">
        <v>10758</v>
      </c>
      <c r="S592" s="1" t="s">
        <v>6244</v>
      </c>
      <c r="T592" s="1">
        <f t="shared" si="29"/>
        <v>89883</v>
      </c>
      <c r="U592" s="1">
        <f t="shared" si="30"/>
        <v>1639</v>
      </c>
      <c r="X592" s="1">
        <f>684+955</f>
        <v>1639</v>
      </c>
      <c r="AH592" s="1">
        <f>SUM(AI592:AT592)</f>
        <v>88244</v>
      </c>
      <c r="AI592" s="1">
        <f>38987+8130</f>
        <v>47117</v>
      </c>
      <c r="AK592" s="1">
        <f>1204+794+18954+18029</f>
        <v>38981</v>
      </c>
      <c r="AL592" s="1">
        <f>1169+977</f>
        <v>2146</v>
      </c>
    </row>
    <row r="593" spans="1:44" x14ac:dyDescent="0.2">
      <c r="A593" s="18" t="s">
        <v>45</v>
      </c>
      <c r="B593" s="18">
        <v>23533358</v>
      </c>
      <c r="C593" s="18" t="s">
        <v>7421</v>
      </c>
      <c r="D593" s="18"/>
      <c r="E593" s="19">
        <v>12</v>
      </c>
      <c r="F593" s="18"/>
      <c r="G593" s="18" t="s">
        <v>9852</v>
      </c>
      <c r="H593" s="18" t="s">
        <v>6840</v>
      </c>
      <c r="I593" s="24">
        <v>41333</v>
      </c>
      <c r="J593" s="18" t="s">
        <v>11</v>
      </c>
      <c r="K593" s="18" t="s">
        <v>9853</v>
      </c>
      <c r="L593" s="18" t="s">
        <v>9854</v>
      </c>
      <c r="M593" s="18"/>
      <c r="N593" s="18" t="s">
        <v>11</v>
      </c>
      <c r="O593" s="18" t="s">
        <v>10</v>
      </c>
      <c r="P593" s="18" t="s">
        <v>9855</v>
      </c>
      <c r="Q593" s="18" t="s">
        <v>33</v>
      </c>
      <c r="R593" s="18" t="s">
        <v>9856</v>
      </c>
      <c r="S593" s="1" t="s">
        <v>6244</v>
      </c>
      <c r="T593" s="1">
        <f t="shared" si="29"/>
        <v>3627</v>
      </c>
      <c r="U593" s="1">
        <f t="shared" si="30"/>
        <v>3627</v>
      </c>
      <c r="V593" s="1">
        <f>1393+1131</f>
        <v>2524</v>
      </c>
      <c r="W593" s="1">
        <f>535+568</f>
        <v>1103</v>
      </c>
    </row>
    <row r="594" spans="1:44" x14ac:dyDescent="0.2">
      <c r="A594" s="18" t="s">
        <v>8704</v>
      </c>
      <c r="B594" s="18">
        <v>23534349</v>
      </c>
      <c r="C594" s="18" t="s">
        <v>7421</v>
      </c>
      <c r="D594" s="18"/>
      <c r="E594" s="19">
        <v>50</v>
      </c>
      <c r="F594" s="18"/>
      <c r="G594" s="18" t="s">
        <v>8705</v>
      </c>
      <c r="H594" s="18" t="s">
        <v>7255</v>
      </c>
      <c r="I594" s="24">
        <v>41361</v>
      </c>
      <c r="J594" s="18" t="s">
        <v>11</v>
      </c>
      <c r="K594" s="18" t="s">
        <v>906</v>
      </c>
      <c r="L594" s="18" t="s">
        <v>8706</v>
      </c>
      <c r="M594" s="18"/>
      <c r="N594" s="18" t="s">
        <v>10</v>
      </c>
      <c r="O594" s="18" t="s">
        <v>10</v>
      </c>
      <c r="P594" s="18" t="s">
        <v>8707</v>
      </c>
      <c r="Q594" s="18" t="s">
        <v>33</v>
      </c>
      <c r="R594" s="18" t="s">
        <v>8708</v>
      </c>
      <c r="S594" s="1" t="s">
        <v>6440</v>
      </c>
      <c r="T594" s="1">
        <f t="shared" si="29"/>
        <v>455</v>
      </c>
      <c r="U594" s="1">
        <f t="shared" si="30"/>
        <v>455</v>
      </c>
      <c r="W594" s="1">
        <v>455</v>
      </c>
    </row>
    <row r="595" spans="1:44" x14ac:dyDescent="0.2">
      <c r="A595" s="18" t="s">
        <v>1901</v>
      </c>
      <c r="B595" s="18">
        <v>23535033</v>
      </c>
      <c r="C595" s="18" t="s">
        <v>7421</v>
      </c>
      <c r="D595" s="18"/>
      <c r="E595" s="19">
        <v>69</v>
      </c>
      <c r="F595" s="18"/>
      <c r="G595" s="18" t="s">
        <v>8400</v>
      </c>
      <c r="H595" s="18" t="s">
        <v>8401</v>
      </c>
      <c r="I595" s="24">
        <v>41357</v>
      </c>
      <c r="J595" s="18" t="s">
        <v>11</v>
      </c>
      <c r="K595" s="18" t="s">
        <v>8402</v>
      </c>
      <c r="L595" s="18" t="s">
        <v>8403</v>
      </c>
      <c r="M595" s="18"/>
      <c r="N595" s="18" t="s">
        <v>10</v>
      </c>
      <c r="O595" s="18" t="s">
        <v>10</v>
      </c>
      <c r="P595" s="18" t="s">
        <v>8404</v>
      </c>
      <c r="Q595" s="18" t="s">
        <v>33</v>
      </c>
      <c r="R595" s="18" t="s">
        <v>667</v>
      </c>
      <c r="S595" s="1" t="s">
        <v>6243</v>
      </c>
      <c r="T595" s="1">
        <f t="shared" si="29"/>
        <v>303</v>
      </c>
      <c r="U595" s="1">
        <f t="shared" si="30"/>
        <v>303</v>
      </c>
      <c r="V595" s="1">
        <v>303</v>
      </c>
    </row>
    <row r="596" spans="1:44" x14ac:dyDescent="0.2">
      <c r="A596" s="18" t="s">
        <v>8176</v>
      </c>
      <c r="B596" s="18">
        <v>23535729</v>
      </c>
      <c r="C596" s="18" t="s">
        <v>7421</v>
      </c>
      <c r="D596" s="18"/>
      <c r="E596" s="19">
        <v>212</v>
      </c>
      <c r="F596" s="18"/>
      <c r="G596" s="18" t="s">
        <v>119</v>
      </c>
      <c r="H596" s="18" t="s">
        <v>6675</v>
      </c>
      <c r="I596" s="24">
        <v>41377</v>
      </c>
      <c r="J596" s="18" t="s">
        <v>11</v>
      </c>
      <c r="K596" s="18" t="s">
        <v>28</v>
      </c>
      <c r="L596" s="18" t="s">
        <v>8177</v>
      </c>
      <c r="M596" s="18"/>
      <c r="N596" s="18" t="s">
        <v>11</v>
      </c>
      <c r="O596" s="18" t="s">
        <v>11</v>
      </c>
      <c r="P596" s="18" t="s">
        <v>8178</v>
      </c>
      <c r="Q596" s="18" t="s">
        <v>8179</v>
      </c>
      <c r="R596" s="18" t="s">
        <v>8180</v>
      </c>
      <c r="S596" s="1" t="s">
        <v>6243</v>
      </c>
      <c r="T596" s="1">
        <f t="shared" si="29"/>
        <v>109797</v>
      </c>
      <c r="U596" s="1">
        <f t="shared" si="30"/>
        <v>22627</v>
      </c>
      <c r="V596" s="1">
        <f>10052+12575</f>
        <v>22627</v>
      </c>
      <c r="AH596" s="1">
        <f>SUM(AI596:AT596)</f>
        <v>87170</v>
      </c>
      <c r="AI596" s="1">
        <f>45290+41880</f>
        <v>87170</v>
      </c>
    </row>
    <row r="597" spans="1:44" x14ac:dyDescent="0.2">
      <c r="A597" s="18" t="s">
        <v>356</v>
      </c>
      <c r="B597" s="18">
        <v>23535732</v>
      </c>
      <c r="C597" s="18" t="s">
        <v>7421</v>
      </c>
      <c r="D597" s="18"/>
      <c r="E597" s="19">
        <v>24</v>
      </c>
      <c r="F597" s="18"/>
      <c r="G597" s="18" t="s">
        <v>77</v>
      </c>
      <c r="H597" s="18" t="s">
        <v>6689</v>
      </c>
      <c r="I597" s="24">
        <v>41377</v>
      </c>
      <c r="J597" s="18" t="s">
        <v>11</v>
      </c>
      <c r="K597" s="18" t="s">
        <v>28</v>
      </c>
      <c r="L597" s="18" t="s">
        <v>10159</v>
      </c>
      <c r="M597" s="18"/>
      <c r="N597" s="18" t="s">
        <v>11</v>
      </c>
      <c r="O597" s="18" t="s">
        <v>11</v>
      </c>
      <c r="P597" s="18" t="s">
        <v>10160</v>
      </c>
      <c r="Q597" s="18" t="s">
        <v>10161</v>
      </c>
      <c r="R597" s="18" t="s">
        <v>10153</v>
      </c>
      <c r="S597" s="1" t="s">
        <v>6243</v>
      </c>
      <c r="T597" s="1">
        <f t="shared" si="29"/>
        <v>61925</v>
      </c>
      <c r="U597" s="1">
        <f t="shared" si="30"/>
        <v>22548</v>
      </c>
      <c r="V597" s="1">
        <f>11085+11463</f>
        <v>22548</v>
      </c>
      <c r="AH597" s="1">
        <f>SUM(AI597:AT597)</f>
        <v>39377</v>
      </c>
      <c r="AI597" s="1">
        <f>19662+19715</f>
        <v>39377</v>
      </c>
    </row>
    <row r="598" spans="1:44" x14ac:dyDescent="0.2">
      <c r="A598" s="18" t="s">
        <v>2612</v>
      </c>
      <c r="B598" s="18">
        <v>23535733</v>
      </c>
      <c r="C598" s="18" t="s">
        <v>7421</v>
      </c>
      <c r="D598" s="18"/>
      <c r="E598" s="19">
        <v>60</v>
      </c>
      <c r="F598" s="18"/>
      <c r="G598" s="18" t="s">
        <v>7031</v>
      </c>
      <c r="H598" s="18" t="s">
        <v>6675</v>
      </c>
      <c r="I598" s="24">
        <v>41377</v>
      </c>
      <c r="J598" s="18" t="s">
        <v>11</v>
      </c>
      <c r="K598" s="18" t="s">
        <v>28</v>
      </c>
      <c r="L598" s="18" t="s">
        <v>8225</v>
      </c>
      <c r="M598" s="18"/>
      <c r="N598" s="18" t="s">
        <v>11</v>
      </c>
      <c r="O598" s="18" t="s">
        <v>11</v>
      </c>
      <c r="P598" s="18" t="s">
        <v>8226</v>
      </c>
      <c r="Q598" s="18" t="s">
        <v>8227</v>
      </c>
      <c r="R598" s="18" t="s">
        <v>10153</v>
      </c>
      <c r="S598" s="1" t="s">
        <v>6243</v>
      </c>
      <c r="T598" s="1">
        <f t="shared" si="29"/>
        <v>87356</v>
      </c>
      <c r="U598" s="1">
        <f t="shared" si="30"/>
        <v>39387</v>
      </c>
      <c r="V598" s="1">
        <f>4193+35194</f>
        <v>39387</v>
      </c>
      <c r="AH598" s="1">
        <f>SUM(AI598:AT598)</f>
        <v>47969</v>
      </c>
      <c r="AI598" s="1">
        <f>6514+41455</f>
        <v>47969</v>
      </c>
    </row>
    <row r="599" spans="1:44" x14ac:dyDescent="0.2">
      <c r="A599" s="18" t="s">
        <v>1304</v>
      </c>
      <c r="B599" s="18">
        <v>23535734</v>
      </c>
      <c r="C599" s="18" t="s">
        <v>7421</v>
      </c>
      <c r="D599" s="18"/>
      <c r="E599" s="19">
        <v>22</v>
      </c>
      <c r="F599" s="18"/>
      <c r="G599" s="18" t="s">
        <v>10635</v>
      </c>
      <c r="H599" s="18" t="s">
        <v>7323</v>
      </c>
      <c r="I599" s="24">
        <v>41360</v>
      </c>
      <c r="J599" s="18" t="s">
        <v>11</v>
      </c>
      <c r="K599" s="18" t="s">
        <v>28</v>
      </c>
      <c r="L599" s="18" t="s">
        <v>10636</v>
      </c>
      <c r="M599" s="18"/>
      <c r="N599" s="18" t="s">
        <v>10</v>
      </c>
      <c r="O599" s="18" t="s">
        <v>10</v>
      </c>
      <c r="P599" s="18" t="s">
        <v>10637</v>
      </c>
      <c r="Q599" s="18" t="s">
        <v>10638</v>
      </c>
      <c r="R599" s="18" t="s">
        <v>10639</v>
      </c>
      <c r="S599" s="1" t="s">
        <v>6243</v>
      </c>
      <c r="T599" s="1">
        <f t="shared" si="29"/>
        <v>48423</v>
      </c>
      <c r="U599" s="1">
        <f t="shared" si="30"/>
        <v>37684</v>
      </c>
      <c r="V599" s="1">
        <v>37684</v>
      </c>
      <c r="AH599" s="1">
        <f>SUM(AI599:AT599)</f>
        <v>10739</v>
      </c>
      <c r="AI599" s="1">
        <v>10739</v>
      </c>
    </row>
    <row r="600" spans="1:44" x14ac:dyDescent="0.2">
      <c r="A600" s="18" t="s">
        <v>9799</v>
      </c>
      <c r="B600" s="18">
        <v>23535911</v>
      </c>
      <c r="C600" s="18" t="s">
        <v>7421</v>
      </c>
      <c r="D600" s="18"/>
      <c r="E600" s="19">
        <v>111</v>
      </c>
      <c r="F600" s="18"/>
      <c r="G600" s="18" t="s">
        <v>6635</v>
      </c>
      <c r="H600" s="18" t="s">
        <v>1641</v>
      </c>
      <c r="I600" s="24">
        <v>41361</v>
      </c>
      <c r="J600" s="18" t="s">
        <v>11</v>
      </c>
      <c r="K600" s="18" t="s">
        <v>595</v>
      </c>
      <c r="L600" s="18" t="s">
        <v>9800</v>
      </c>
      <c r="M600" s="18"/>
      <c r="N600" s="18" t="s">
        <v>10</v>
      </c>
      <c r="O600" s="18" t="s">
        <v>10</v>
      </c>
      <c r="P600" s="18" t="s">
        <v>9801</v>
      </c>
      <c r="Q600" s="18" t="s">
        <v>9802</v>
      </c>
      <c r="R600" s="18" t="s">
        <v>9803</v>
      </c>
      <c r="S600" s="1" t="s">
        <v>6242</v>
      </c>
      <c r="T600" s="1">
        <f t="shared" si="29"/>
        <v>2510</v>
      </c>
      <c r="U600" s="1">
        <f t="shared" si="30"/>
        <v>1326</v>
      </c>
      <c r="X600" s="1">
        <f>392+934</f>
        <v>1326</v>
      </c>
      <c r="AH600" s="1">
        <f>SUM(AI600:AT600)</f>
        <v>1184</v>
      </c>
      <c r="AK600" s="1">
        <f>172+1012</f>
        <v>1184</v>
      </c>
    </row>
    <row r="601" spans="1:44" x14ac:dyDescent="0.2">
      <c r="A601" s="18" t="s">
        <v>2556</v>
      </c>
      <c r="B601" s="18">
        <v>23535967</v>
      </c>
      <c r="C601" s="18" t="s">
        <v>7421</v>
      </c>
      <c r="D601" s="18"/>
      <c r="E601" s="19">
        <v>4</v>
      </c>
      <c r="F601" s="18"/>
      <c r="G601" s="18" t="s">
        <v>869</v>
      </c>
      <c r="H601" s="18" t="s">
        <v>7401</v>
      </c>
      <c r="I601" s="24">
        <v>41361</v>
      </c>
      <c r="J601" s="18" t="s">
        <v>11</v>
      </c>
      <c r="K601" s="18" t="s">
        <v>689</v>
      </c>
      <c r="L601" s="18" t="s">
        <v>8308</v>
      </c>
      <c r="M601" s="18"/>
      <c r="N601" s="18" t="s">
        <v>10</v>
      </c>
      <c r="O601" s="18" t="s">
        <v>10</v>
      </c>
      <c r="P601" s="18" t="s">
        <v>8309</v>
      </c>
      <c r="Q601" s="18" t="s">
        <v>33</v>
      </c>
      <c r="R601" s="18" t="s">
        <v>8310</v>
      </c>
      <c r="S601" s="1" t="s">
        <v>6243</v>
      </c>
      <c r="T601" s="1">
        <f t="shared" si="29"/>
        <v>9049</v>
      </c>
      <c r="U601" s="1">
        <f t="shared" si="30"/>
        <v>9049</v>
      </c>
      <c r="V601" s="1">
        <v>9049</v>
      </c>
    </row>
    <row r="602" spans="1:44" x14ac:dyDescent="0.2">
      <c r="A602" s="18" t="s">
        <v>9018</v>
      </c>
      <c r="B602" s="18">
        <v>23536807</v>
      </c>
      <c r="C602" s="18" t="s">
        <v>7421</v>
      </c>
      <c r="D602" s="18"/>
      <c r="E602" s="19">
        <v>2</v>
      </c>
      <c r="F602" s="18"/>
      <c r="G602" s="18" t="s">
        <v>9019</v>
      </c>
      <c r="H602" s="18" t="s">
        <v>9020</v>
      </c>
      <c r="I602" s="24">
        <v>41344</v>
      </c>
      <c r="J602" s="18" t="s">
        <v>11</v>
      </c>
      <c r="K602" s="18" t="s">
        <v>181</v>
      </c>
      <c r="L602" s="18" t="s">
        <v>9021</v>
      </c>
      <c r="M602" s="18"/>
      <c r="N602" s="18" t="s">
        <v>10</v>
      </c>
      <c r="O602" s="18" t="s">
        <v>10</v>
      </c>
      <c r="P602" s="18" t="s">
        <v>9022</v>
      </c>
      <c r="Q602" s="18" t="s">
        <v>9023</v>
      </c>
      <c r="R602" s="18" t="s">
        <v>9024</v>
      </c>
      <c r="S602" s="1" t="s">
        <v>6248</v>
      </c>
      <c r="T602" s="1">
        <f t="shared" si="29"/>
        <v>797</v>
      </c>
      <c r="U602" s="1">
        <f t="shared" si="30"/>
        <v>397</v>
      </c>
      <c r="AE602" s="1">
        <v>397</v>
      </c>
      <c r="AH602" s="1">
        <f>SUM(AI602:AT602)</f>
        <v>400</v>
      </c>
      <c r="AR602" s="1">
        <f>200+200</f>
        <v>400</v>
      </c>
    </row>
    <row r="603" spans="1:44" x14ac:dyDescent="0.2">
      <c r="A603" s="18" t="s">
        <v>8593</v>
      </c>
      <c r="B603" s="18">
        <v>23538338</v>
      </c>
      <c r="C603" s="18" t="s">
        <v>7421</v>
      </c>
      <c r="D603" s="18"/>
      <c r="E603" s="19">
        <v>50</v>
      </c>
      <c r="F603" s="18"/>
      <c r="G603" s="18" t="s">
        <v>8594</v>
      </c>
      <c r="H603" s="18" t="s">
        <v>8595</v>
      </c>
      <c r="I603" s="24">
        <v>41361</v>
      </c>
      <c r="J603" s="18" t="s">
        <v>10</v>
      </c>
      <c r="K603" s="18" t="s">
        <v>455</v>
      </c>
      <c r="L603" s="18" t="s">
        <v>8596</v>
      </c>
      <c r="M603" s="18"/>
      <c r="N603" s="18" t="s">
        <v>10</v>
      </c>
      <c r="O603" s="18" t="s">
        <v>10</v>
      </c>
      <c r="P603" s="18" t="s">
        <v>8597</v>
      </c>
      <c r="Q603" s="18" t="s">
        <v>33</v>
      </c>
      <c r="R603" s="18" t="s">
        <v>8598</v>
      </c>
      <c r="S603" s="1" t="s">
        <v>6244</v>
      </c>
      <c r="T603" s="1">
        <f t="shared" si="29"/>
        <v>523</v>
      </c>
      <c r="U603" s="1">
        <f t="shared" si="30"/>
        <v>523</v>
      </c>
      <c r="V603" s="1">
        <v>174</v>
      </c>
      <c r="W603" s="1">
        <f>176+83</f>
        <v>259</v>
      </c>
      <c r="X603" s="1">
        <v>90</v>
      </c>
    </row>
    <row r="604" spans="1:44" x14ac:dyDescent="0.2">
      <c r="A604" s="18" t="s">
        <v>2032</v>
      </c>
      <c r="B604" s="18">
        <v>23539754</v>
      </c>
      <c r="C604" s="18" t="s">
        <v>7421</v>
      </c>
      <c r="D604" s="18"/>
      <c r="E604" s="19">
        <v>17</v>
      </c>
      <c r="F604" s="18"/>
      <c r="G604" s="18" t="s">
        <v>869</v>
      </c>
      <c r="H604" s="18" t="s">
        <v>7401</v>
      </c>
      <c r="I604" s="24">
        <v>41361</v>
      </c>
      <c r="J604" s="18" t="s">
        <v>11</v>
      </c>
      <c r="K604" s="18" t="s">
        <v>541</v>
      </c>
      <c r="L604" s="18" t="s">
        <v>8314</v>
      </c>
      <c r="M604" s="18"/>
      <c r="N604" s="18" t="s">
        <v>10</v>
      </c>
      <c r="O604" s="18" t="s">
        <v>10</v>
      </c>
      <c r="P604" s="18" t="s">
        <v>8315</v>
      </c>
      <c r="Q604" s="18" t="s">
        <v>8316</v>
      </c>
      <c r="R604" s="18" t="s">
        <v>8317</v>
      </c>
      <c r="S604" s="1" t="s">
        <v>6242</v>
      </c>
      <c r="T604" s="1">
        <f t="shared" si="29"/>
        <v>3851</v>
      </c>
      <c r="U604" s="1">
        <f t="shared" si="30"/>
        <v>501</v>
      </c>
      <c r="X604" s="1">
        <f>252+249</f>
        <v>501</v>
      </c>
      <c r="AH604" s="1">
        <f>SUM(AI604:AT604)</f>
        <v>3350</v>
      </c>
      <c r="AK604" s="1">
        <f>1100+2250</f>
        <v>3350</v>
      </c>
    </row>
    <row r="605" spans="1:44" x14ac:dyDescent="0.2">
      <c r="A605" s="18" t="s">
        <v>289</v>
      </c>
      <c r="B605" s="18">
        <v>23541324</v>
      </c>
      <c r="C605" s="18" t="s">
        <v>7421</v>
      </c>
      <c r="D605" s="18"/>
      <c r="E605" s="19">
        <v>301</v>
      </c>
      <c r="F605" s="18"/>
      <c r="G605" s="18" t="s">
        <v>9493</v>
      </c>
      <c r="H605" s="18" t="s">
        <v>9478</v>
      </c>
      <c r="I605" s="24">
        <v>41360</v>
      </c>
      <c r="J605" s="18" t="s">
        <v>11</v>
      </c>
      <c r="K605" s="18" t="s">
        <v>1169</v>
      </c>
      <c r="L605" s="18" t="s">
        <v>9494</v>
      </c>
      <c r="M605" s="18"/>
      <c r="N605" s="18" t="s">
        <v>10</v>
      </c>
      <c r="O605" s="18" t="s">
        <v>10</v>
      </c>
      <c r="P605" s="18" t="s">
        <v>9495</v>
      </c>
      <c r="Q605" s="18" t="s">
        <v>33</v>
      </c>
      <c r="R605" s="18" t="s">
        <v>9496</v>
      </c>
      <c r="S605" s="1" t="s">
        <v>6243</v>
      </c>
      <c r="T605" s="1">
        <f t="shared" si="29"/>
        <v>1544</v>
      </c>
      <c r="U605" s="1">
        <f t="shared" si="30"/>
        <v>1544</v>
      </c>
      <c r="V605" s="1">
        <v>1544</v>
      </c>
    </row>
    <row r="606" spans="1:44" x14ac:dyDescent="0.2">
      <c r="A606" s="18" t="s">
        <v>9767</v>
      </c>
      <c r="B606" s="18">
        <v>23542338</v>
      </c>
      <c r="C606" s="18" t="s">
        <v>7421</v>
      </c>
      <c r="D606" s="18"/>
      <c r="E606" s="19">
        <v>8</v>
      </c>
      <c r="F606" s="18"/>
      <c r="G606" s="18" t="s">
        <v>9768</v>
      </c>
      <c r="H606" s="18" t="s">
        <v>7156</v>
      </c>
      <c r="I606" s="24">
        <v>41360</v>
      </c>
      <c r="J606" s="18" t="s">
        <v>10</v>
      </c>
      <c r="K606" s="18" t="s">
        <v>1520</v>
      </c>
      <c r="L606" s="18" t="s">
        <v>9769</v>
      </c>
      <c r="M606" s="18"/>
      <c r="N606" s="18" t="s">
        <v>10</v>
      </c>
      <c r="O606" s="18" t="s">
        <v>10</v>
      </c>
      <c r="P606" s="18" t="s">
        <v>9770</v>
      </c>
      <c r="Q606" s="18" t="s">
        <v>9771</v>
      </c>
      <c r="R606" s="18" t="s">
        <v>9772</v>
      </c>
      <c r="S606" s="1" t="s">
        <v>6243</v>
      </c>
      <c r="T606" s="1">
        <f t="shared" si="29"/>
        <v>4742</v>
      </c>
      <c r="U606" s="1">
        <f t="shared" si="30"/>
        <v>1825</v>
      </c>
      <c r="V606" s="1">
        <f>835+990</f>
        <v>1825</v>
      </c>
      <c r="AH606" s="1">
        <f>SUM(AI606:AT606)</f>
        <v>2917</v>
      </c>
      <c r="AI606" s="1">
        <f>1934+983</f>
        <v>2917</v>
      </c>
    </row>
    <row r="607" spans="1:44" x14ac:dyDescent="0.2">
      <c r="A607" s="18" t="s">
        <v>8143</v>
      </c>
      <c r="B607" s="18">
        <v>23544013</v>
      </c>
      <c r="C607" s="18" t="s">
        <v>7421</v>
      </c>
      <c r="D607" s="18"/>
      <c r="E607" s="19">
        <v>124</v>
      </c>
      <c r="F607" s="18"/>
      <c r="G607" s="18" t="s">
        <v>8144</v>
      </c>
      <c r="H607" s="18" t="s">
        <v>8145</v>
      </c>
      <c r="I607" s="24">
        <v>41360</v>
      </c>
      <c r="J607" s="18" t="s">
        <v>11</v>
      </c>
      <c r="K607" s="18" t="s">
        <v>65</v>
      </c>
      <c r="L607" s="18" t="s">
        <v>8146</v>
      </c>
      <c r="M607" s="18"/>
      <c r="N607" s="18" t="s">
        <v>11</v>
      </c>
      <c r="O607" s="18" t="s">
        <v>11</v>
      </c>
      <c r="P607" s="18" t="s">
        <v>8147</v>
      </c>
      <c r="Q607" s="18" t="s">
        <v>8148</v>
      </c>
      <c r="R607" s="18" t="s">
        <v>8149</v>
      </c>
      <c r="S607" s="1" t="s">
        <v>6243</v>
      </c>
      <c r="T607" s="1">
        <f t="shared" si="29"/>
        <v>14691</v>
      </c>
      <c r="U607" s="1">
        <f t="shared" si="30"/>
        <v>2727</v>
      </c>
      <c r="V607" s="1">
        <f>1426+1301</f>
        <v>2727</v>
      </c>
      <c r="AH607" s="1">
        <f>SUM(AI607:AT607)</f>
        <v>11964</v>
      </c>
      <c r="AI607" s="1">
        <f>6031+5933</f>
        <v>11964</v>
      </c>
    </row>
    <row r="608" spans="1:44" x14ac:dyDescent="0.2">
      <c r="A608" s="18" t="s">
        <v>1220</v>
      </c>
      <c r="B608" s="18">
        <v>23548203</v>
      </c>
      <c r="C608" s="18" t="s">
        <v>7421</v>
      </c>
      <c r="D608" s="18"/>
      <c r="E608" s="19">
        <v>72</v>
      </c>
      <c r="F608" s="18"/>
      <c r="G608" s="18" t="s">
        <v>10508</v>
      </c>
      <c r="H608" s="18" t="s">
        <v>2562</v>
      </c>
      <c r="I608" s="24">
        <v>41365</v>
      </c>
      <c r="J608" s="18" t="s">
        <v>11</v>
      </c>
      <c r="K608" s="18" t="s">
        <v>103</v>
      </c>
      <c r="L608" s="18" t="s">
        <v>10509</v>
      </c>
      <c r="M608" s="18"/>
      <c r="N608" s="18" t="s">
        <v>10</v>
      </c>
      <c r="O608" s="18" t="s">
        <v>10</v>
      </c>
      <c r="P608" s="18" t="s">
        <v>10510</v>
      </c>
      <c r="Q608" s="18" t="s">
        <v>10511</v>
      </c>
      <c r="R608" s="18" t="s">
        <v>10512</v>
      </c>
      <c r="S608" s="1" t="s">
        <v>6243</v>
      </c>
      <c r="T608" s="1">
        <f t="shared" si="29"/>
        <v>6367</v>
      </c>
      <c r="U608" s="1">
        <f t="shared" si="30"/>
        <v>3871</v>
      </c>
      <c r="V608" s="1">
        <v>3871</v>
      </c>
      <c r="AH608" s="1">
        <f>SUM(AI608:AT608)</f>
        <v>2496</v>
      </c>
      <c r="AI608" s="1">
        <v>2496</v>
      </c>
    </row>
    <row r="609" spans="1:39" x14ac:dyDescent="0.2">
      <c r="A609" s="18" t="s">
        <v>1211</v>
      </c>
      <c r="B609" s="18">
        <v>23551011</v>
      </c>
      <c r="C609" s="18" t="s">
        <v>7421</v>
      </c>
      <c r="D609" s="18"/>
      <c r="E609" s="19">
        <v>29</v>
      </c>
      <c r="F609" s="18"/>
      <c r="G609" s="18" t="s">
        <v>10081</v>
      </c>
      <c r="H609" s="18" t="s">
        <v>10082</v>
      </c>
      <c r="I609" s="24">
        <v>41366</v>
      </c>
      <c r="J609" s="18" t="s">
        <v>11</v>
      </c>
      <c r="K609" s="18" t="s">
        <v>906</v>
      </c>
      <c r="L609" s="18" t="s">
        <v>10091</v>
      </c>
      <c r="M609" s="18"/>
      <c r="N609" s="18" t="s">
        <v>11</v>
      </c>
      <c r="O609" s="18" t="s">
        <v>11</v>
      </c>
      <c r="P609" s="18" t="s">
        <v>10092</v>
      </c>
      <c r="Q609" s="18" t="s">
        <v>33</v>
      </c>
      <c r="R609" s="18" t="s">
        <v>10093</v>
      </c>
      <c r="S609" s="1" t="s">
        <v>6244</v>
      </c>
      <c r="T609" s="1">
        <f t="shared" si="29"/>
        <v>3003</v>
      </c>
      <c r="U609" s="1">
        <f t="shared" si="30"/>
        <v>3003</v>
      </c>
      <c r="V609" s="1">
        <f>1202+50</f>
        <v>1252</v>
      </c>
      <c r="W609" s="1">
        <v>1031</v>
      </c>
      <c r="Z609" s="1">
        <f>658+62</f>
        <v>720</v>
      </c>
    </row>
    <row r="610" spans="1:39" x14ac:dyDescent="0.2">
      <c r="A610" s="18" t="s">
        <v>1431</v>
      </c>
      <c r="B610" s="18">
        <v>23555189</v>
      </c>
      <c r="C610" s="18" t="s">
        <v>7421</v>
      </c>
      <c r="D610" s="18"/>
      <c r="E610" s="19">
        <v>23</v>
      </c>
      <c r="F610" s="18"/>
      <c r="G610" s="18" t="s">
        <v>10176</v>
      </c>
      <c r="H610" s="18" t="s">
        <v>10177</v>
      </c>
      <c r="I610" s="24">
        <v>41377</v>
      </c>
      <c r="J610" s="18" t="s">
        <v>11</v>
      </c>
      <c r="K610" s="18" t="s">
        <v>10178</v>
      </c>
      <c r="L610" s="18" t="s">
        <v>10179</v>
      </c>
      <c r="M610" s="18"/>
      <c r="N610" s="18" t="s">
        <v>11</v>
      </c>
      <c r="O610" s="18" t="s">
        <v>11</v>
      </c>
      <c r="P610" s="18" t="s">
        <v>10180</v>
      </c>
      <c r="Q610" s="18" t="s">
        <v>33</v>
      </c>
      <c r="R610" s="18" t="s">
        <v>10181</v>
      </c>
      <c r="S610" s="1" t="s">
        <v>6243</v>
      </c>
      <c r="T610" s="1">
        <f t="shared" si="29"/>
        <v>1371</v>
      </c>
      <c r="U610" s="1">
        <f t="shared" si="30"/>
        <v>1371</v>
      </c>
      <c r="V610" s="1">
        <v>1371</v>
      </c>
    </row>
    <row r="611" spans="1:39" x14ac:dyDescent="0.2">
      <c r="A611" s="18" t="s">
        <v>1040</v>
      </c>
      <c r="B611" s="18">
        <v>23555300</v>
      </c>
      <c r="C611" s="18" t="s">
        <v>7421</v>
      </c>
      <c r="D611" s="18"/>
      <c r="E611" s="19">
        <v>52</v>
      </c>
      <c r="F611" s="18"/>
      <c r="G611" s="18" t="s">
        <v>476</v>
      </c>
      <c r="H611" s="18" t="s">
        <v>7339</v>
      </c>
      <c r="I611" s="24">
        <v>41361</v>
      </c>
      <c r="J611" s="18" t="s">
        <v>11</v>
      </c>
      <c r="K611" s="18" t="s">
        <v>65</v>
      </c>
      <c r="L611" s="18" t="s">
        <v>10275</v>
      </c>
      <c r="M611" s="18"/>
      <c r="N611" s="18" t="s">
        <v>10</v>
      </c>
      <c r="O611" s="18" t="s">
        <v>10</v>
      </c>
      <c r="P611" s="18" t="s">
        <v>10276</v>
      </c>
      <c r="Q611" s="18" t="s">
        <v>33</v>
      </c>
      <c r="R611" s="18" t="s">
        <v>10277</v>
      </c>
      <c r="S611" s="1" t="s">
        <v>6243</v>
      </c>
      <c r="T611" s="1">
        <f t="shared" si="29"/>
        <v>2706</v>
      </c>
      <c r="U611" s="1">
        <f t="shared" si="30"/>
        <v>2706</v>
      </c>
      <c r="V611" s="1">
        <v>2706</v>
      </c>
    </row>
    <row r="612" spans="1:39" x14ac:dyDescent="0.2">
      <c r="A612" s="18" t="s">
        <v>2364</v>
      </c>
      <c r="B612" s="18">
        <v>23555315</v>
      </c>
      <c r="C612" s="18" t="s">
        <v>7421</v>
      </c>
      <c r="D612" s="18"/>
      <c r="E612" s="19">
        <v>1512</v>
      </c>
      <c r="F612" s="18"/>
      <c r="G612" s="18" t="s">
        <v>6780</v>
      </c>
      <c r="H612" s="18" t="s">
        <v>7067</v>
      </c>
      <c r="I612" s="24">
        <v>41361</v>
      </c>
      <c r="J612" s="18" t="s">
        <v>10</v>
      </c>
      <c r="K612" s="18" t="s">
        <v>65</v>
      </c>
      <c r="L612" s="18" t="s">
        <v>8191</v>
      </c>
      <c r="M612" s="18"/>
      <c r="N612" s="18" t="s">
        <v>11</v>
      </c>
      <c r="O612" s="18" t="s">
        <v>10</v>
      </c>
      <c r="P612" s="18" t="s">
        <v>8192</v>
      </c>
      <c r="Q612" s="18" t="s">
        <v>33</v>
      </c>
      <c r="R612" s="18" t="s">
        <v>8193</v>
      </c>
      <c r="S612" s="1" t="s">
        <v>6244</v>
      </c>
      <c r="T612" s="1">
        <f t="shared" si="29"/>
        <v>14905</v>
      </c>
      <c r="U612" s="1">
        <f t="shared" si="30"/>
        <v>14905</v>
      </c>
      <c r="V612" s="1">
        <v>3315</v>
      </c>
      <c r="W612" s="1">
        <v>3854</v>
      </c>
      <c r="X612" s="1">
        <v>3843</v>
      </c>
      <c r="Z612" s="1">
        <v>3106</v>
      </c>
      <c r="AB612" s="1">
        <v>787</v>
      </c>
    </row>
    <row r="613" spans="1:39" x14ac:dyDescent="0.2">
      <c r="A613" s="18" t="s">
        <v>8489</v>
      </c>
      <c r="B613" s="18">
        <v>23561647</v>
      </c>
      <c r="C613" s="18" t="s">
        <v>7421</v>
      </c>
      <c r="D613" s="18"/>
      <c r="E613" s="19">
        <v>77</v>
      </c>
      <c r="F613" s="18"/>
      <c r="G613" s="18" t="s">
        <v>8490</v>
      </c>
      <c r="H613" s="18" t="s">
        <v>7163</v>
      </c>
      <c r="I613" s="24">
        <v>41346</v>
      </c>
      <c r="J613" s="18" t="s">
        <v>11</v>
      </c>
      <c r="K613" s="18" t="s">
        <v>816</v>
      </c>
      <c r="L613" s="18" t="s">
        <v>8491</v>
      </c>
      <c r="M613" s="18"/>
      <c r="N613" s="18" t="s">
        <v>11</v>
      </c>
      <c r="O613" s="18" t="s">
        <v>11</v>
      </c>
      <c r="P613" s="18" t="s">
        <v>8492</v>
      </c>
      <c r="Q613" s="18" t="s">
        <v>33</v>
      </c>
      <c r="R613" s="18" t="s">
        <v>8493</v>
      </c>
      <c r="S613" s="1" t="s">
        <v>6243</v>
      </c>
      <c r="T613" s="1">
        <f t="shared" si="29"/>
        <v>2620</v>
      </c>
      <c r="U613" s="1">
        <f t="shared" si="30"/>
        <v>2620</v>
      </c>
      <c r="V613" s="1">
        <v>2620</v>
      </c>
    </row>
    <row r="614" spans="1:39" x14ac:dyDescent="0.2">
      <c r="A614" s="18" t="s">
        <v>8293</v>
      </c>
      <c r="B614" s="18">
        <v>23562540</v>
      </c>
      <c r="C614" s="18" t="s">
        <v>7421</v>
      </c>
      <c r="D614" s="18"/>
      <c r="E614" s="19">
        <v>72</v>
      </c>
      <c r="F614" s="18"/>
      <c r="G614" s="18" t="s">
        <v>8294</v>
      </c>
      <c r="H614" s="18" t="s">
        <v>7210</v>
      </c>
      <c r="I614" s="24">
        <v>41367</v>
      </c>
      <c r="J614" s="18" t="s">
        <v>11</v>
      </c>
      <c r="K614" s="18" t="s">
        <v>125</v>
      </c>
      <c r="L614" s="18" t="s">
        <v>8295</v>
      </c>
      <c r="M614" s="18"/>
      <c r="N614" s="18" t="s">
        <v>10</v>
      </c>
      <c r="O614" s="18" t="s">
        <v>10</v>
      </c>
      <c r="P614" s="18" t="s">
        <v>8296</v>
      </c>
      <c r="Q614" s="18" t="s">
        <v>33</v>
      </c>
      <c r="R614" s="18" t="s">
        <v>8297</v>
      </c>
      <c r="S614" s="1" t="s">
        <v>6243</v>
      </c>
      <c r="T614" s="1">
        <f t="shared" si="29"/>
        <v>1278</v>
      </c>
      <c r="U614" s="1">
        <f t="shared" si="30"/>
        <v>1278</v>
      </c>
      <c r="V614" s="1">
        <f>591+687</f>
        <v>1278</v>
      </c>
    </row>
    <row r="615" spans="1:39" x14ac:dyDescent="0.2">
      <c r="A615" s="18" t="s">
        <v>10347</v>
      </c>
      <c r="B615" s="18">
        <v>23562823</v>
      </c>
      <c r="C615" s="18" t="s">
        <v>7421</v>
      </c>
      <c r="D615" s="18"/>
      <c r="E615" s="19">
        <v>51927</v>
      </c>
      <c r="F615" s="18"/>
      <c r="G615" s="18" t="s">
        <v>10343</v>
      </c>
      <c r="H615" s="18" t="s">
        <v>7379</v>
      </c>
      <c r="I615" s="24">
        <v>41368</v>
      </c>
      <c r="J615" s="18" t="s">
        <v>11</v>
      </c>
      <c r="K615" s="18" t="s">
        <v>103</v>
      </c>
      <c r="L615" s="18" t="s">
        <v>10348</v>
      </c>
      <c r="M615" s="18"/>
      <c r="N615" s="18" t="s">
        <v>10</v>
      </c>
      <c r="O615" s="18" t="s">
        <v>10</v>
      </c>
      <c r="P615" s="18" t="s">
        <v>10349</v>
      </c>
      <c r="Q615" s="18" t="s">
        <v>10350</v>
      </c>
      <c r="R615" s="18" t="s">
        <v>10351</v>
      </c>
      <c r="S615" s="1" t="s">
        <v>6244</v>
      </c>
      <c r="T615" s="1">
        <f t="shared" si="29"/>
        <v>1592</v>
      </c>
      <c r="U615" s="1">
        <f t="shared" si="30"/>
        <v>1007</v>
      </c>
      <c r="X615" s="1">
        <f>437+570</f>
        <v>1007</v>
      </c>
      <c r="AH615" s="1">
        <f>SUM(AI615:AT615)</f>
        <v>585</v>
      </c>
      <c r="AM615" s="1">
        <f>329+256</f>
        <v>585</v>
      </c>
    </row>
    <row r="616" spans="1:39" x14ac:dyDescent="0.2">
      <c r="A616" s="18" t="s">
        <v>7684</v>
      </c>
      <c r="B616" s="18">
        <v>23563607</v>
      </c>
      <c r="C616" s="18" t="s">
        <v>7421</v>
      </c>
      <c r="D616" s="18"/>
      <c r="E616" s="19">
        <v>427</v>
      </c>
      <c r="F616" s="18"/>
      <c r="G616" s="18" t="s">
        <v>7685</v>
      </c>
      <c r="H616" s="18" t="s">
        <v>7305</v>
      </c>
      <c r="I616" s="24">
        <v>41371</v>
      </c>
      <c r="J616" s="18" t="s">
        <v>11</v>
      </c>
      <c r="K616" s="18" t="s">
        <v>28</v>
      </c>
      <c r="L616" s="18" t="s">
        <v>7686</v>
      </c>
      <c r="M616" s="18"/>
      <c r="N616" s="18" t="s">
        <v>10</v>
      </c>
      <c r="O616" s="18" t="s">
        <v>10</v>
      </c>
      <c r="P616" s="18" t="s">
        <v>7687</v>
      </c>
      <c r="Q616" s="18" t="s">
        <v>7688</v>
      </c>
      <c r="R616" s="18" t="s">
        <v>7689</v>
      </c>
      <c r="S616" s="1" t="s">
        <v>6243</v>
      </c>
      <c r="T616" s="1">
        <f t="shared" si="29"/>
        <v>25859</v>
      </c>
      <c r="U616" s="1">
        <f t="shared" si="30"/>
        <v>16068</v>
      </c>
      <c r="V616" s="1">
        <f>7962+8106</f>
        <v>16068</v>
      </c>
      <c r="AH616" s="1">
        <f>SUM(AI616:AT616)</f>
        <v>9791</v>
      </c>
      <c r="AI616" s="1">
        <f>4900+4891</f>
        <v>9791</v>
      </c>
    </row>
    <row r="617" spans="1:39" x14ac:dyDescent="0.2">
      <c r="A617" s="18" t="s">
        <v>2548</v>
      </c>
      <c r="B617" s="18">
        <v>23563609</v>
      </c>
      <c r="C617" s="18" t="s">
        <v>7421</v>
      </c>
      <c r="D617" s="18"/>
      <c r="E617" s="19">
        <v>69</v>
      </c>
      <c r="F617" s="18"/>
      <c r="G617" s="18" t="s">
        <v>9836</v>
      </c>
      <c r="H617" s="18" t="s">
        <v>7302</v>
      </c>
      <c r="I617" s="24">
        <v>41371</v>
      </c>
      <c r="J617" s="18" t="s">
        <v>11</v>
      </c>
      <c r="K617" s="18" t="s">
        <v>28</v>
      </c>
      <c r="L617" s="18" t="s">
        <v>9837</v>
      </c>
      <c r="M617" s="18"/>
      <c r="N617" s="18" t="s">
        <v>10</v>
      </c>
      <c r="O617" s="18" t="s">
        <v>10</v>
      </c>
      <c r="P617" s="18" t="s">
        <v>9838</v>
      </c>
      <c r="Q617" s="18" t="s">
        <v>9839</v>
      </c>
      <c r="R617" s="18" t="s">
        <v>9840</v>
      </c>
      <c r="S617" s="1" t="s">
        <v>6243</v>
      </c>
      <c r="T617" s="1">
        <f t="shared" si="29"/>
        <v>9850</v>
      </c>
      <c r="U617" s="1">
        <f t="shared" si="30"/>
        <v>6889</v>
      </c>
      <c r="V617" s="1">
        <f>1509+5380</f>
        <v>6889</v>
      </c>
      <c r="AH617" s="1">
        <f>SUM(AI617:AT617)</f>
        <v>2961</v>
      </c>
      <c r="AI617" s="1">
        <f>971+1990</f>
        <v>2961</v>
      </c>
    </row>
    <row r="618" spans="1:39" x14ac:dyDescent="0.2">
      <c r="A618" s="18" t="s">
        <v>7636</v>
      </c>
      <c r="B618" s="18">
        <v>23565137</v>
      </c>
      <c r="C618" s="18" t="s">
        <v>7421</v>
      </c>
      <c r="D618" s="18"/>
      <c r="E618" s="19">
        <v>134</v>
      </c>
      <c r="F618" s="18"/>
      <c r="G618" s="18" t="s">
        <v>128</v>
      </c>
      <c r="H618" s="18" t="s">
        <v>7126</v>
      </c>
      <c r="I618" s="24">
        <v>41366</v>
      </c>
      <c r="J618" s="18" t="s">
        <v>11</v>
      </c>
      <c r="K618" s="18" t="s">
        <v>181</v>
      </c>
      <c r="L618" s="18" t="s">
        <v>7637</v>
      </c>
      <c r="M618" s="18"/>
      <c r="N618" s="18" t="s">
        <v>10</v>
      </c>
      <c r="O618" s="18" t="s">
        <v>10</v>
      </c>
      <c r="P618" s="18" t="s">
        <v>7638</v>
      </c>
      <c r="Q618" s="18" t="s">
        <v>7639</v>
      </c>
      <c r="R618" s="18" t="s">
        <v>7640</v>
      </c>
      <c r="S618" s="1" t="s">
        <v>6244</v>
      </c>
      <c r="T618" s="1">
        <f t="shared" si="29"/>
        <v>27844</v>
      </c>
      <c r="U618" s="1">
        <f t="shared" si="30"/>
        <v>1735</v>
      </c>
      <c r="X618" s="1">
        <f>891+844</f>
        <v>1735</v>
      </c>
      <c r="AH618" s="1">
        <f>SUM(AI618:AT618)</f>
        <v>26109</v>
      </c>
      <c r="AI618" s="1">
        <f>10931+11840</f>
        <v>22771</v>
      </c>
      <c r="AK618" s="1">
        <f>1224+2114</f>
        <v>3338</v>
      </c>
    </row>
    <row r="619" spans="1:39" x14ac:dyDescent="0.2">
      <c r="A619" s="18" t="s">
        <v>7756</v>
      </c>
      <c r="B619" s="18">
        <v>23565138</v>
      </c>
      <c r="C619" s="18" t="s">
        <v>7421</v>
      </c>
      <c r="D619" s="18"/>
      <c r="E619" s="19">
        <v>10</v>
      </c>
      <c r="F619" s="18"/>
      <c r="G619" s="18" t="s">
        <v>7757</v>
      </c>
      <c r="H619" s="18" t="s">
        <v>2672</v>
      </c>
      <c r="I619" s="24">
        <v>41366</v>
      </c>
      <c r="J619" s="18" t="s">
        <v>11</v>
      </c>
      <c r="K619" s="18" t="s">
        <v>181</v>
      </c>
      <c r="L619" s="18" t="s">
        <v>7758</v>
      </c>
      <c r="M619" s="18"/>
      <c r="N619" s="18" t="s">
        <v>10</v>
      </c>
      <c r="O619" s="18" t="s">
        <v>10</v>
      </c>
      <c r="P619" s="18" t="s">
        <v>7759</v>
      </c>
      <c r="Q619" s="18" t="s">
        <v>7760</v>
      </c>
      <c r="R619" s="18" t="s">
        <v>739</v>
      </c>
      <c r="S619" s="1" t="s">
        <v>6243</v>
      </c>
      <c r="T619" s="1">
        <f t="shared" si="29"/>
        <v>7614</v>
      </c>
      <c r="U619" s="1">
        <f t="shared" si="30"/>
        <v>2810</v>
      </c>
      <c r="V619" s="1">
        <v>2810</v>
      </c>
      <c r="AH619" s="1">
        <f>SUM(AI619:AT619)</f>
        <v>4804</v>
      </c>
      <c r="AI619" s="1">
        <v>4804</v>
      </c>
    </row>
    <row r="620" spans="1:39" x14ac:dyDescent="0.2">
      <c r="A620" s="18" t="s">
        <v>10797</v>
      </c>
      <c r="B620" s="18">
        <v>23565322</v>
      </c>
      <c r="C620" s="18" t="s">
        <v>7421</v>
      </c>
      <c r="D620" s="18">
        <v>1</v>
      </c>
      <c r="E620" s="19">
        <v>0</v>
      </c>
      <c r="F620" s="18"/>
      <c r="G620" s="18" t="s">
        <v>10798</v>
      </c>
      <c r="H620" s="18" t="s">
        <v>10799</v>
      </c>
      <c r="I620" s="24">
        <v>41351</v>
      </c>
      <c r="J620" s="18" t="s">
        <v>10</v>
      </c>
      <c r="K620" s="18" t="s">
        <v>10025</v>
      </c>
      <c r="L620" s="18" t="s">
        <v>10800</v>
      </c>
      <c r="M620" s="18"/>
      <c r="N620" s="18" t="s">
        <v>11</v>
      </c>
      <c r="O620" s="18" t="s">
        <v>11</v>
      </c>
      <c r="P620" s="18" t="s">
        <v>10801</v>
      </c>
      <c r="Q620" s="18" t="s">
        <v>33</v>
      </c>
      <c r="R620" s="18" t="s">
        <v>10802</v>
      </c>
      <c r="S620" s="1" t="s">
        <v>6243</v>
      </c>
      <c r="T620" s="1">
        <f t="shared" si="29"/>
        <v>7644</v>
      </c>
      <c r="U620" s="1">
        <f t="shared" si="30"/>
        <v>7644</v>
      </c>
      <c r="V620" s="1">
        <f>774+3048+373+3449</f>
        <v>7644</v>
      </c>
    </row>
    <row r="621" spans="1:39" x14ac:dyDescent="0.2">
      <c r="A621" s="18" t="s">
        <v>2462</v>
      </c>
      <c r="B621" s="18">
        <v>23568457</v>
      </c>
      <c r="C621" s="18" t="s">
        <v>7421</v>
      </c>
      <c r="D621" s="18"/>
      <c r="E621" s="19">
        <v>128</v>
      </c>
      <c r="F621" s="18"/>
      <c r="G621" s="18" t="s">
        <v>8634</v>
      </c>
      <c r="H621" s="18" t="s">
        <v>7060</v>
      </c>
      <c r="I621" s="24">
        <v>41373</v>
      </c>
      <c r="J621" s="18" t="s">
        <v>11</v>
      </c>
      <c r="K621" s="18" t="s">
        <v>8635</v>
      </c>
      <c r="L621" s="18" t="s">
        <v>8636</v>
      </c>
      <c r="M621" s="18"/>
      <c r="N621" s="18" t="s">
        <v>11</v>
      </c>
      <c r="O621" s="18" t="s">
        <v>11</v>
      </c>
      <c r="P621" s="18" t="s">
        <v>8637</v>
      </c>
      <c r="Q621" s="18" t="s">
        <v>33</v>
      </c>
      <c r="R621" s="18" t="s">
        <v>8638</v>
      </c>
      <c r="S621" s="1" t="s">
        <v>6243</v>
      </c>
      <c r="T621" s="1">
        <f t="shared" si="29"/>
        <v>2524</v>
      </c>
      <c r="U621" s="1">
        <f t="shared" si="30"/>
        <v>2524</v>
      </c>
      <c r="V621" s="1">
        <f>237+2287</f>
        <v>2524</v>
      </c>
    </row>
    <row r="622" spans="1:39" x14ac:dyDescent="0.2">
      <c r="A622" s="18" t="s">
        <v>7628</v>
      </c>
      <c r="B622" s="18">
        <v>23571587</v>
      </c>
      <c r="C622" s="18" t="s">
        <v>7421</v>
      </c>
      <c r="D622" s="18"/>
      <c r="E622" s="19">
        <v>11</v>
      </c>
      <c r="F622" s="18"/>
      <c r="G622" s="18" t="s">
        <v>128</v>
      </c>
      <c r="H622" s="18" t="s">
        <v>7126</v>
      </c>
      <c r="I622" s="24">
        <v>41374</v>
      </c>
      <c r="J622" s="18" t="s">
        <v>11</v>
      </c>
      <c r="K622" s="18" t="s">
        <v>699</v>
      </c>
      <c r="L622" s="18" t="s">
        <v>7629</v>
      </c>
      <c r="M622" s="18"/>
      <c r="N622" s="18" t="s">
        <v>10</v>
      </c>
      <c r="O622" s="18" t="s">
        <v>10</v>
      </c>
      <c r="P622" s="18" t="s">
        <v>7630</v>
      </c>
      <c r="Q622" s="18" t="s">
        <v>33</v>
      </c>
      <c r="R622" s="18" t="s">
        <v>7631</v>
      </c>
      <c r="S622" s="1" t="s">
        <v>6440</v>
      </c>
      <c r="T622" s="1">
        <f t="shared" si="29"/>
        <v>5896</v>
      </c>
      <c r="U622" s="1">
        <f t="shared" si="30"/>
        <v>5896</v>
      </c>
      <c r="W622" s="1">
        <f>1968+3928</f>
        <v>5896</v>
      </c>
    </row>
    <row r="623" spans="1:39" x14ac:dyDescent="0.2">
      <c r="A623" s="18" t="s">
        <v>8086</v>
      </c>
      <c r="B623" s="18">
        <v>23572186</v>
      </c>
      <c r="C623" s="18" t="s">
        <v>7421</v>
      </c>
      <c r="D623" s="18"/>
      <c r="E623" s="19">
        <v>8</v>
      </c>
      <c r="F623" s="18"/>
      <c r="G623" s="18" t="s">
        <v>8087</v>
      </c>
      <c r="H623" s="18" t="s">
        <v>7231</v>
      </c>
      <c r="I623" s="24">
        <v>41373</v>
      </c>
      <c r="J623" s="18" t="s">
        <v>11</v>
      </c>
      <c r="K623" s="18" t="s">
        <v>541</v>
      </c>
      <c r="L623" s="18" t="s">
        <v>8088</v>
      </c>
      <c r="M623" s="18"/>
      <c r="N623" s="18" t="s">
        <v>10</v>
      </c>
      <c r="O623" s="18" t="s">
        <v>10</v>
      </c>
      <c r="P623" s="18" t="s">
        <v>8089</v>
      </c>
      <c r="Q623" s="18" t="s">
        <v>8090</v>
      </c>
      <c r="R623" s="18" t="s">
        <v>1780</v>
      </c>
      <c r="S623" s="1" t="s">
        <v>6244</v>
      </c>
      <c r="T623" s="1">
        <f t="shared" si="29"/>
        <v>6581</v>
      </c>
      <c r="U623" s="1">
        <f t="shared" si="30"/>
        <v>5866</v>
      </c>
      <c r="V623" s="1">
        <v>5866</v>
      </c>
      <c r="AH623" s="1">
        <f t="shared" ref="AH623:AH630" si="31">SUM(AI623:AT623)</f>
        <v>715</v>
      </c>
      <c r="AM623" s="1">
        <v>715</v>
      </c>
    </row>
    <row r="624" spans="1:39" x14ac:dyDescent="0.2">
      <c r="A624" s="18" t="s">
        <v>7970</v>
      </c>
      <c r="B624" s="18">
        <v>23575227</v>
      </c>
      <c r="C624" s="18" t="s">
        <v>7421</v>
      </c>
      <c r="D624" s="18"/>
      <c r="E624" s="19">
        <v>37</v>
      </c>
      <c r="F624" s="18"/>
      <c r="G624" s="18" t="s">
        <v>7971</v>
      </c>
      <c r="H624" s="18" t="s">
        <v>7972</v>
      </c>
      <c r="I624" s="24">
        <v>41374</v>
      </c>
      <c r="J624" s="18" t="s">
        <v>11</v>
      </c>
      <c r="K624" s="18" t="s">
        <v>103</v>
      </c>
      <c r="L624" s="18" t="s">
        <v>7973</v>
      </c>
      <c r="M624" s="18"/>
      <c r="N624" s="18" t="s">
        <v>10</v>
      </c>
      <c r="O624" s="18" t="s">
        <v>10</v>
      </c>
      <c r="P624" s="18" t="s">
        <v>7974</v>
      </c>
      <c r="Q624" s="18" t="s">
        <v>7975</v>
      </c>
      <c r="R624" s="18" t="s">
        <v>7976</v>
      </c>
      <c r="S624" s="1" t="s">
        <v>6244</v>
      </c>
      <c r="T624" s="1">
        <f t="shared" si="29"/>
        <v>6577</v>
      </c>
      <c r="U624" s="1">
        <f t="shared" si="30"/>
        <v>4281</v>
      </c>
      <c r="V624" s="1">
        <v>1363</v>
      </c>
      <c r="W624" s="1">
        <v>1095</v>
      </c>
      <c r="X624" s="1">
        <v>1207</v>
      </c>
      <c r="Z624" s="1">
        <v>616</v>
      </c>
      <c r="AH624" s="1">
        <f t="shared" si="31"/>
        <v>2296</v>
      </c>
      <c r="AI624" s="1">
        <v>2296</v>
      </c>
    </row>
    <row r="625" spans="1:44" x14ac:dyDescent="0.2">
      <c r="A625" s="18" t="s">
        <v>10304</v>
      </c>
      <c r="B625" s="18">
        <v>23575436</v>
      </c>
      <c r="C625" s="18" t="s">
        <v>7421</v>
      </c>
      <c r="D625" s="18"/>
      <c r="E625" s="19">
        <v>13</v>
      </c>
      <c r="F625" s="18"/>
      <c r="G625" s="18" t="s">
        <v>10305</v>
      </c>
      <c r="H625" s="18" t="s">
        <v>7382</v>
      </c>
      <c r="I625" s="24">
        <v>41375</v>
      </c>
      <c r="J625" s="18" t="s">
        <v>11</v>
      </c>
      <c r="K625" s="18" t="s">
        <v>689</v>
      </c>
      <c r="L625" s="18" t="s">
        <v>10306</v>
      </c>
      <c r="M625" s="18"/>
      <c r="N625" s="18" t="s">
        <v>10</v>
      </c>
      <c r="O625" s="18" t="s">
        <v>10</v>
      </c>
      <c r="P625" s="18" t="s">
        <v>10307</v>
      </c>
      <c r="Q625" s="18" t="s">
        <v>10308</v>
      </c>
      <c r="R625" s="18" t="s">
        <v>10309</v>
      </c>
      <c r="S625" s="1" t="s">
        <v>6242</v>
      </c>
      <c r="T625" s="1">
        <f t="shared" si="29"/>
        <v>14232</v>
      </c>
      <c r="U625" s="1">
        <f t="shared" si="30"/>
        <v>7696</v>
      </c>
      <c r="X625" s="1">
        <v>7696</v>
      </c>
      <c r="AH625" s="1">
        <f t="shared" si="31"/>
        <v>6536</v>
      </c>
      <c r="AK625" s="1">
        <v>6536</v>
      </c>
    </row>
    <row r="626" spans="1:44" x14ac:dyDescent="0.2">
      <c r="A626" s="18" t="s">
        <v>1855</v>
      </c>
      <c r="B626" s="18">
        <v>23577725</v>
      </c>
      <c r="C626" s="18" t="s">
        <v>7421</v>
      </c>
      <c r="D626" s="18"/>
      <c r="E626" s="19">
        <v>358</v>
      </c>
      <c r="F626" s="18"/>
      <c r="G626" s="18" t="s">
        <v>15</v>
      </c>
      <c r="H626" s="18" t="s">
        <v>7143</v>
      </c>
      <c r="I626" s="24">
        <v>41409</v>
      </c>
      <c r="J626" s="18" t="s">
        <v>11</v>
      </c>
      <c r="K626" s="18" t="s">
        <v>906</v>
      </c>
      <c r="L626" s="18" t="s">
        <v>7525</v>
      </c>
      <c r="M626" s="18"/>
      <c r="N626" s="18" t="s">
        <v>10</v>
      </c>
      <c r="O626" s="18" t="s">
        <v>10</v>
      </c>
      <c r="P626" s="18" t="s">
        <v>7526</v>
      </c>
      <c r="Q626" s="18" t="s">
        <v>7527</v>
      </c>
      <c r="R626" s="18" t="s">
        <v>7528</v>
      </c>
      <c r="S626" s="1" t="s">
        <v>6243</v>
      </c>
      <c r="T626" s="1">
        <f t="shared" si="29"/>
        <v>2101</v>
      </c>
      <c r="U626" s="1">
        <f t="shared" si="30"/>
        <v>1893</v>
      </c>
      <c r="V626" s="1">
        <f>1207+686</f>
        <v>1893</v>
      </c>
      <c r="AH626" s="1">
        <f t="shared" si="31"/>
        <v>208</v>
      </c>
      <c r="AI626" s="1">
        <f>122+86</f>
        <v>208</v>
      </c>
    </row>
    <row r="627" spans="1:44" x14ac:dyDescent="0.2">
      <c r="A627" s="18" t="s">
        <v>8051</v>
      </c>
      <c r="B627" s="18">
        <v>23583978</v>
      </c>
      <c r="C627" s="18" t="s">
        <v>7421</v>
      </c>
      <c r="D627" s="18"/>
      <c r="E627" s="19">
        <v>215</v>
      </c>
      <c r="F627" s="18"/>
      <c r="G627" s="18" t="s">
        <v>370</v>
      </c>
      <c r="H627" s="18" t="s">
        <v>7229</v>
      </c>
      <c r="I627" s="24">
        <v>41378</v>
      </c>
      <c r="J627" s="18" t="s">
        <v>11</v>
      </c>
      <c r="K627" s="18" t="s">
        <v>28</v>
      </c>
      <c r="L627" s="18" t="s">
        <v>8052</v>
      </c>
      <c r="M627" s="18"/>
      <c r="N627" s="18" t="s">
        <v>10</v>
      </c>
      <c r="O627" s="18" t="s">
        <v>10</v>
      </c>
      <c r="P627" s="18" t="s">
        <v>8053</v>
      </c>
      <c r="Q627" s="18" t="s">
        <v>8054</v>
      </c>
      <c r="R627" s="18" t="s">
        <v>8055</v>
      </c>
      <c r="S627" s="1" t="s">
        <v>6244</v>
      </c>
      <c r="T627" s="1">
        <f t="shared" si="29"/>
        <v>195118</v>
      </c>
      <c r="U627" s="1">
        <f t="shared" si="30"/>
        <v>39144</v>
      </c>
      <c r="W627" s="1">
        <f>37956+1188</f>
        <v>39144</v>
      </c>
      <c r="AH627" s="1">
        <f t="shared" si="31"/>
        <v>155974</v>
      </c>
      <c r="AI627" s="1">
        <v>123706</v>
      </c>
      <c r="AJ627" s="1">
        <f>27661+4607</f>
        <v>32268</v>
      </c>
    </row>
    <row r="628" spans="1:44" x14ac:dyDescent="0.2">
      <c r="A628" s="18" t="s">
        <v>9057</v>
      </c>
      <c r="B628" s="18">
        <v>23583979</v>
      </c>
      <c r="C628" s="18" t="s">
        <v>7421</v>
      </c>
      <c r="D628" s="18"/>
      <c r="E628" s="19">
        <v>529</v>
      </c>
      <c r="F628" s="18"/>
      <c r="G628" s="18" t="s">
        <v>9058</v>
      </c>
      <c r="H628" s="18" t="s">
        <v>7314</v>
      </c>
      <c r="I628" s="24">
        <v>41378</v>
      </c>
      <c r="J628" s="18" t="s">
        <v>11</v>
      </c>
      <c r="K628" s="18" t="s">
        <v>28</v>
      </c>
      <c r="L628" s="18" t="s">
        <v>9059</v>
      </c>
      <c r="M628" s="18"/>
      <c r="N628" s="18" t="s">
        <v>10</v>
      </c>
      <c r="O628" s="18" t="s">
        <v>10</v>
      </c>
      <c r="P628" s="18" t="s">
        <v>9060</v>
      </c>
      <c r="Q628" s="18" t="s">
        <v>9061</v>
      </c>
      <c r="R628" s="18" t="s">
        <v>9062</v>
      </c>
      <c r="S628" s="1" t="s">
        <v>6244</v>
      </c>
      <c r="T628" s="1">
        <f t="shared" ref="T628:T691" si="32">SUM(U628,AH628)</f>
        <v>181178</v>
      </c>
      <c r="U628" s="1">
        <f t="shared" ref="U628:U691" si="33">SUM(V628:AG628)</f>
        <v>92355</v>
      </c>
      <c r="V628" s="1">
        <v>85787</v>
      </c>
      <c r="Y628" s="1">
        <v>6568</v>
      </c>
      <c r="AH628" s="1">
        <f t="shared" si="31"/>
        <v>88823</v>
      </c>
      <c r="AI628" s="1">
        <f>88823</f>
        <v>88823</v>
      </c>
    </row>
    <row r="629" spans="1:44" x14ac:dyDescent="0.2">
      <c r="A629" s="18" t="s">
        <v>10223</v>
      </c>
      <c r="B629" s="18">
        <v>23583980</v>
      </c>
      <c r="C629" s="18" t="s">
        <v>7421</v>
      </c>
      <c r="D629" s="18"/>
      <c r="E629" s="19">
        <v>254</v>
      </c>
      <c r="F629" s="18"/>
      <c r="G629" s="18" t="s">
        <v>10224</v>
      </c>
      <c r="H629" s="18" t="s">
        <v>10225</v>
      </c>
      <c r="I629" s="24">
        <v>41378</v>
      </c>
      <c r="J629" s="18" t="s">
        <v>11</v>
      </c>
      <c r="K629" s="18" t="s">
        <v>28</v>
      </c>
      <c r="L629" s="18" t="s">
        <v>10226</v>
      </c>
      <c r="M629" s="18"/>
      <c r="N629" s="18" t="s">
        <v>10</v>
      </c>
      <c r="O629" s="18" t="s">
        <v>10</v>
      </c>
      <c r="P629" s="18" t="s">
        <v>10227</v>
      </c>
      <c r="Q629" s="18" t="s">
        <v>10228</v>
      </c>
      <c r="R629" s="18" t="s">
        <v>10229</v>
      </c>
      <c r="S629" s="1" t="s">
        <v>6243</v>
      </c>
      <c r="T629" s="1">
        <f t="shared" si="32"/>
        <v>50410</v>
      </c>
      <c r="U629" s="1">
        <f t="shared" si="33"/>
        <v>47644</v>
      </c>
      <c r="V629" s="1">
        <f>1161+46483</f>
        <v>47644</v>
      </c>
      <c r="AH629" s="1">
        <f t="shared" si="31"/>
        <v>2766</v>
      </c>
      <c r="AI629" s="1">
        <f>876+1890</f>
        <v>2766</v>
      </c>
    </row>
    <row r="630" spans="1:44" x14ac:dyDescent="0.2">
      <c r="A630" s="18" t="s">
        <v>10118</v>
      </c>
      <c r="B630" s="18">
        <v>23585552</v>
      </c>
      <c r="C630" s="18" t="s">
        <v>7421</v>
      </c>
      <c r="D630" s="18"/>
      <c r="E630" s="19">
        <v>15960</v>
      </c>
      <c r="F630" s="18"/>
      <c r="G630" s="18" t="s">
        <v>10119</v>
      </c>
      <c r="H630" s="18" t="s">
        <v>1102</v>
      </c>
      <c r="I630" s="24">
        <v>41375</v>
      </c>
      <c r="J630" s="18" t="s">
        <v>11</v>
      </c>
      <c r="K630" s="18" t="s">
        <v>103</v>
      </c>
      <c r="L630" s="18" t="s">
        <v>10120</v>
      </c>
      <c r="M630" s="18"/>
      <c r="N630" s="18" t="s">
        <v>10</v>
      </c>
      <c r="O630" s="18" t="s">
        <v>10</v>
      </c>
      <c r="P630" s="18" t="s">
        <v>10121</v>
      </c>
      <c r="Q630" s="18" t="s">
        <v>10122</v>
      </c>
      <c r="R630" s="18" t="s">
        <v>10123</v>
      </c>
      <c r="S630" s="1" t="s">
        <v>6243</v>
      </c>
      <c r="T630" s="1">
        <f t="shared" si="32"/>
        <v>10704</v>
      </c>
      <c r="U630" s="1">
        <f t="shared" si="33"/>
        <v>2820</v>
      </c>
      <c r="V630" s="1">
        <f>867+1953</f>
        <v>2820</v>
      </c>
      <c r="AH630" s="1">
        <f t="shared" si="31"/>
        <v>7884</v>
      </c>
      <c r="AI630" s="1">
        <f>1966+5918</f>
        <v>7884</v>
      </c>
    </row>
    <row r="631" spans="1:44" x14ac:dyDescent="0.2">
      <c r="A631" s="18" t="s">
        <v>3193</v>
      </c>
      <c r="B631" s="18">
        <v>23587638</v>
      </c>
      <c r="C631" s="18" t="s">
        <v>7421</v>
      </c>
      <c r="D631" s="18"/>
      <c r="E631" s="19">
        <v>177</v>
      </c>
      <c r="F631" s="18"/>
      <c r="G631" s="18" t="s">
        <v>57</v>
      </c>
      <c r="H631" s="18" t="s">
        <v>7142</v>
      </c>
      <c r="I631" s="24">
        <v>41376</v>
      </c>
      <c r="J631" s="18" t="s">
        <v>10</v>
      </c>
      <c r="K631" s="18" t="s">
        <v>1485</v>
      </c>
      <c r="L631" s="18" t="s">
        <v>7653</v>
      </c>
      <c r="M631" s="18"/>
      <c r="N631" s="18" t="s">
        <v>10</v>
      </c>
      <c r="O631" s="18" t="s">
        <v>10</v>
      </c>
      <c r="P631" s="18" t="s">
        <v>7654</v>
      </c>
      <c r="Q631" s="18" t="s">
        <v>33</v>
      </c>
      <c r="R631" s="18" t="s">
        <v>7655</v>
      </c>
      <c r="S631" s="1" t="s">
        <v>6243</v>
      </c>
      <c r="T631" s="1">
        <f t="shared" si="32"/>
        <v>5151</v>
      </c>
      <c r="U631" s="1">
        <f t="shared" si="33"/>
        <v>5151</v>
      </c>
      <c r="V631" s="1">
        <f>632+4519</f>
        <v>5151</v>
      </c>
    </row>
    <row r="632" spans="1:44" x14ac:dyDescent="0.2">
      <c r="A632" s="18" t="s">
        <v>10591</v>
      </c>
      <c r="B632" s="18">
        <v>23593153</v>
      </c>
      <c r="C632" s="18" t="s">
        <v>7421</v>
      </c>
      <c r="D632" s="18"/>
      <c r="E632" s="19">
        <v>2</v>
      </c>
      <c r="F632" s="18"/>
      <c r="G632" s="18" t="s">
        <v>2226</v>
      </c>
      <c r="H632" s="18" t="s">
        <v>7190</v>
      </c>
      <c r="I632" s="24">
        <v>41368</v>
      </c>
      <c r="J632" s="18" t="s">
        <v>10</v>
      </c>
      <c r="K632" s="18" t="s">
        <v>181</v>
      </c>
      <c r="L632" s="18" t="s">
        <v>10592</v>
      </c>
      <c r="M632" s="18"/>
      <c r="N632" s="18" t="s">
        <v>10</v>
      </c>
      <c r="O632" s="18" t="s">
        <v>10</v>
      </c>
      <c r="P632" s="18" t="s">
        <v>10593</v>
      </c>
      <c r="Q632" s="18" t="s">
        <v>33</v>
      </c>
      <c r="R632" s="18" t="s">
        <v>10594</v>
      </c>
      <c r="S632" s="1" t="s">
        <v>6243</v>
      </c>
      <c r="T632" s="1">
        <f t="shared" si="32"/>
        <v>3998</v>
      </c>
      <c r="U632" s="1">
        <f t="shared" si="33"/>
        <v>3998</v>
      </c>
      <c r="V632" s="1">
        <f>948+3050</f>
        <v>3998</v>
      </c>
    </row>
    <row r="633" spans="1:44" x14ac:dyDescent="0.2">
      <c r="A633" s="18" t="s">
        <v>7985</v>
      </c>
      <c r="B633" s="18">
        <v>23593202</v>
      </c>
      <c r="C633" s="18" t="s">
        <v>7421</v>
      </c>
      <c r="D633" s="18"/>
      <c r="E633" s="19">
        <v>50</v>
      </c>
      <c r="F633" s="18"/>
      <c r="G633" s="18" t="s">
        <v>7986</v>
      </c>
      <c r="H633" s="18" t="s">
        <v>7987</v>
      </c>
      <c r="I633" s="24">
        <v>41368</v>
      </c>
      <c r="J633" s="18" t="s">
        <v>11</v>
      </c>
      <c r="K633" s="18" t="s">
        <v>181</v>
      </c>
      <c r="L633" s="18" t="s">
        <v>7988</v>
      </c>
      <c r="M633" s="18"/>
      <c r="N633" s="18" t="s">
        <v>11</v>
      </c>
      <c r="O633" s="18" t="s">
        <v>11</v>
      </c>
      <c r="P633" s="18" t="s">
        <v>7989</v>
      </c>
      <c r="Q633" s="18" t="s">
        <v>7990</v>
      </c>
      <c r="R633" s="18" t="s">
        <v>7991</v>
      </c>
      <c r="S633" s="1" t="s">
        <v>6243</v>
      </c>
      <c r="T633" s="1">
        <f t="shared" si="32"/>
        <v>3055</v>
      </c>
      <c r="U633" s="1">
        <f t="shared" si="33"/>
        <v>1728</v>
      </c>
      <c r="V633" s="1">
        <v>1728</v>
      </c>
      <c r="AH633" s="1">
        <f>SUM(AI633:AT633)</f>
        <v>1327</v>
      </c>
      <c r="AI633" s="1">
        <v>501</v>
      </c>
      <c r="AK633" s="1">
        <v>826</v>
      </c>
    </row>
    <row r="634" spans="1:44" x14ac:dyDescent="0.2">
      <c r="A634" s="18" t="s">
        <v>10460</v>
      </c>
      <c r="B634" s="18">
        <v>23593239</v>
      </c>
      <c r="C634" s="18" t="s">
        <v>7421</v>
      </c>
      <c r="D634" s="18"/>
      <c r="E634" s="19">
        <v>60</v>
      </c>
      <c r="F634" s="18"/>
      <c r="G634" s="18" t="s">
        <v>10461</v>
      </c>
      <c r="H634" s="18" t="s">
        <v>6817</v>
      </c>
      <c r="I634" s="24">
        <v>41368</v>
      </c>
      <c r="J634" s="18" t="s">
        <v>11</v>
      </c>
      <c r="K634" s="18" t="s">
        <v>181</v>
      </c>
      <c r="L634" s="18" t="s">
        <v>10462</v>
      </c>
      <c r="M634" s="18"/>
      <c r="N634" s="18" t="s">
        <v>10</v>
      </c>
      <c r="O634" s="18" t="s">
        <v>10</v>
      </c>
      <c r="P634" s="18" t="s">
        <v>10463</v>
      </c>
      <c r="Q634" s="18" t="s">
        <v>10464</v>
      </c>
      <c r="R634" s="18" t="s">
        <v>10961</v>
      </c>
      <c r="S634" s="1" t="s">
        <v>6243</v>
      </c>
      <c r="T634" s="1">
        <f t="shared" si="32"/>
        <v>53898</v>
      </c>
      <c r="U634" s="1">
        <f t="shared" si="33"/>
        <v>50627</v>
      </c>
      <c r="V634" s="1">
        <f>7734+42893</f>
        <v>50627</v>
      </c>
      <c r="AH634" s="1">
        <f>SUM(AI634:AT634)</f>
        <v>3271</v>
      </c>
      <c r="AR634" s="1">
        <f>737+2534</f>
        <v>3271</v>
      </c>
    </row>
    <row r="635" spans="1:44" x14ac:dyDescent="0.2">
      <c r="A635" s="18" t="s">
        <v>1753</v>
      </c>
      <c r="B635" s="18">
        <v>23594818</v>
      </c>
      <c r="C635" s="18" t="s">
        <v>7421</v>
      </c>
      <c r="D635" s="18"/>
      <c r="E635" s="19">
        <v>286</v>
      </c>
      <c r="F635" s="18"/>
      <c r="G635" s="18" t="s">
        <v>9600</v>
      </c>
      <c r="H635" s="18" t="s">
        <v>9601</v>
      </c>
      <c r="I635" s="24">
        <v>41376</v>
      </c>
      <c r="J635" s="18" t="s">
        <v>11</v>
      </c>
      <c r="K635" s="18" t="s">
        <v>1891</v>
      </c>
      <c r="L635" s="18" t="s">
        <v>9602</v>
      </c>
      <c r="M635" s="18"/>
      <c r="N635" s="18" t="s">
        <v>10</v>
      </c>
      <c r="O635" s="18" t="s">
        <v>10</v>
      </c>
      <c r="P635" s="18" t="s">
        <v>9603</v>
      </c>
      <c r="Q635" s="18" t="s">
        <v>33</v>
      </c>
      <c r="R635" s="18" t="s">
        <v>9604</v>
      </c>
      <c r="S635" s="1" t="s">
        <v>6242</v>
      </c>
      <c r="T635" s="1">
        <f t="shared" si="32"/>
        <v>1100</v>
      </c>
      <c r="U635" s="1">
        <f t="shared" si="33"/>
        <v>1100</v>
      </c>
      <c r="X635" s="1">
        <f>236+864</f>
        <v>1100</v>
      </c>
    </row>
    <row r="636" spans="1:44" x14ac:dyDescent="0.2">
      <c r="A636" s="18" t="s">
        <v>7487</v>
      </c>
      <c r="B636" s="18">
        <v>23599027</v>
      </c>
      <c r="C636" s="18" t="s">
        <v>7421</v>
      </c>
      <c r="D636" s="18"/>
      <c r="E636" s="19">
        <v>54</v>
      </c>
      <c r="F636" s="18"/>
      <c r="G636" s="18" t="s">
        <v>776</v>
      </c>
      <c r="H636" s="18" t="s">
        <v>7483</v>
      </c>
      <c r="I636" s="24">
        <v>41381</v>
      </c>
      <c r="J636" s="18" t="s">
        <v>11</v>
      </c>
      <c r="K636" s="18" t="s">
        <v>103</v>
      </c>
      <c r="L636" s="18" t="s">
        <v>7488</v>
      </c>
      <c r="M636" s="18"/>
      <c r="N636" s="18" t="s">
        <v>11</v>
      </c>
      <c r="O636" s="18" t="s">
        <v>11</v>
      </c>
      <c r="P636" s="18" t="s">
        <v>7489</v>
      </c>
      <c r="Q636" s="18" t="s">
        <v>7490</v>
      </c>
      <c r="R636" s="18" t="s">
        <v>2201</v>
      </c>
      <c r="S636" s="1" t="s">
        <v>6244</v>
      </c>
      <c r="T636" s="1">
        <f t="shared" si="32"/>
        <v>108741</v>
      </c>
      <c r="U636" s="1">
        <f t="shared" si="33"/>
        <v>18089</v>
      </c>
      <c r="W636" s="1">
        <v>18089</v>
      </c>
      <c r="AH636" s="1">
        <f>SUM(AI636:AT636)</f>
        <v>90652</v>
      </c>
      <c r="AI636" s="1">
        <v>87802</v>
      </c>
      <c r="AJ636" s="1">
        <v>2850</v>
      </c>
    </row>
    <row r="637" spans="1:44" x14ac:dyDescent="0.2">
      <c r="A637" s="18" t="s">
        <v>3193</v>
      </c>
      <c r="B637" s="18">
        <v>23601808</v>
      </c>
      <c r="C637" s="18" t="s">
        <v>7421</v>
      </c>
      <c r="D637" s="18"/>
      <c r="E637" s="19">
        <v>7</v>
      </c>
      <c r="F637" s="18"/>
      <c r="G637" s="18" t="s">
        <v>8650</v>
      </c>
      <c r="H637" s="18" t="s">
        <v>8651</v>
      </c>
      <c r="I637" s="24">
        <v>41382</v>
      </c>
      <c r="J637" s="18" t="s">
        <v>10</v>
      </c>
      <c r="K637" s="18" t="s">
        <v>1485</v>
      </c>
      <c r="L637" s="18" t="s">
        <v>8652</v>
      </c>
      <c r="M637" s="18"/>
      <c r="N637" s="18" t="s">
        <v>10</v>
      </c>
      <c r="O637" s="18" t="s">
        <v>10</v>
      </c>
      <c r="P637" s="18" t="s">
        <v>8653</v>
      </c>
      <c r="Q637" s="18" t="s">
        <v>33</v>
      </c>
      <c r="R637" s="18" t="s">
        <v>8654</v>
      </c>
      <c r="S637" s="1" t="s">
        <v>6243</v>
      </c>
      <c r="T637" s="1">
        <f t="shared" si="32"/>
        <v>129</v>
      </c>
      <c r="U637" s="1">
        <f t="shared" si="33"/>
        <v>129</v>
      </c>
      <c r="V637" s="1">
        <v>129</v>
      </c>
    </row>
    <row r="638" spans="1:44" x14ac:dyDescent="0.2">
      <c r="A638" s="18" t="s">
        <v>7773</v>
      </c>
      <c r="B638" s="18">
        <v>23603761</v>
      </c>
      <c r="C638" s="18" t="s">
        <v>7421</v>
      </c>
      <c r="D638" s="18"/>
      <c r="E638" s="19">
        <v>98</v>
      </c>
      <c r="F638" s="18"/>
      <c r="G638" s="18" t="s">
        <v>7774</v>
      </c>
      <c r="H638" s="18" t="s">
        <v>7337</v>
      </c>
      <c r="I638" s="24">
        <v>41385</v>
      </c>
      <c r="J638" s="18" t="s">
        <v>10</v>
      </c>
      <c r="K638" s="18" t="s">
        <v>28</v>
      </c>
      <c r="L638" s="18" t="s">
        <v>7775</v>
      </c>
      <c r="M638" s="18"/>
      <c r="N638" s="18" t="s">
        <v>10</v>
      </c>
      <c r="O638" s="18" t="s">
        <v>10</v>
      </c>
      <c r="P638" s="18" t="s">
        <v>7776</v>
      </c>
      <c r="Q638" s="18" t="s">
        <v>33</v>
      </c>
      <c r="R638" s="18" t="s">
        <v>7777</v>
      </c>
      <c r="S638" s="1" t="s">
        <v>6243</v>
      </c>
      <c r="T638" s="1">
        <f t="shared" si="32"/>
        <v>15872</v>
      </c>
      <c r="U638" s="1">
        <f t="shared" si="33"/>
        <v>15872</v>
      </c>
      <c r="V638" s="1">
        <f>2816+13056</f>
        <v>15872</v>
      </c>
    </row>
    <row r="639" spans="1:44" x14ac:dyDescent="0.2">
      <c r="A639" s="18" t="s">
        <v>45</v>
      </c>
      <c r="B639" s="18">
        <v>23603763</v>
      </c>
      <c r="C639" s="18" t="s">
        <v>7421</v>
      </c>
      <c r="D639" s="18"/>
      <c r="E639" s="19">
        <v>137</v>
      </c>
      <c r="F639" s="18"/>
      <c r="G639" s="18" t="s">
        <v>1192</v>
      </c>
      <c r="H639" s="18" t="s">
        <v>897</v>
      </c>
      <c r="I639" s="24">
        <v>41385</v>
      </c>
      <c r="J639" s="18" t="s">
        <v>10</v>
      </c>
      <c r="K639" s="18" t="s">
        <v>28</v>
      </c>
      <c r="L639" s="18" t="s">
        <v>10129</v>
      </c>
      <c r="M639" s="18"/>
      <c r="N639" s="18" t="s">
        <v>10</v>
      </c>
      <c r="O639" s="18" t="s">
        <v>10</v>
      </c>
      <c r="P639" s="18" t="s">
        <v>10130</v>
      </c>
      <c r="Q639" s="18" t="s">
        <v>33</v>
      </c>
      <c r="R639" s="18" t="s">
        <v>10131</v>
      </c>
      <c r="S639" s="1" t="s">
        <v>6243</v>
      </c>
      <c r="T639" s="1">
        <f t="shared" si="32"/>
        <v>28868</v>
      </c>
      <c r="U639" s="1">
        <f t="shared" si="33"/>
        <v>28868</v>
      </c>
      <c r="V639" s="1">
        <f>3789+25079</f>
        <v>28868</v>
      </c>
    </row>
    <row r="640" spans="1:44" x14ac:dyDescent="0.2">
      <c r="A640" s="18" t="s">
        <v>1211</v>
      </c>
      <c r="B640" s="18">
        <v>23612905</v>
      </c>
      <c r="C640" s="18" t="s">
        <v>7421</v>
      </c>
      <c r="D640" s="18"/>
      <c r="E640" s="19">
        <v>1079</v>
      </c>
      <c r="F640" s="18"/>
      <c r="G640" s="18" t="s">
        <v>2629</v>
      </c>
      <c r="H640" s="18" t="s">
        <v>7886</v>
      </c>
      <c r="I640" s="24">
        <v>41387</v>
      </c>
      <c r="J640" s="18" t="s">
        <v>11</v>
      </c>
      <c r="K640" s="18" t="s">
        <v>103</v>
      </c>
      <c r="L640" s="18" t="s">
        <v>9039</v>
      </c>
      <c r="M640" s="18"/>
      <c r="N640" s="18" t="s">
        <v>10</v>
      </c>
      <c r="O640" s="18" t="s">
        <v>10</v>
      </c>
      <c r="P640" s="18" t="s">
        <v>9040</v>
      </c>
      <c r="Q640" s="18" t="s">
        <v>9041</v>
      </c>
      <c r="R640" s="18" t="s">
        <v>9042</v>
      </c>
      <c r="S640" s="1" t="s">
        <v>6242</v>
      </c>
      <c r="T640" s="1">
        <f t="shared" si="32"/>
        <v>19152</v>
      </c>
      <c r="U640" s="1">
        <f t="shared" si="33"/>
        <v>2910</v>
      </c>
      <c r="X640" s="1">
        <f>1442+1468</f>
        <v>2910</v>
      </c>
      <c r="AH640" s="1">
        <f>SUM(AI640:AT640)</f>
        <v>16242</v>
      </c>
      <c r="AK640" s="1">
        <f>7891+8351</f>
        <v>16242</v>
      </c>
    </row>
    <row r="641" spans="1:37" x14ac:dyDescent="0.2">
      <c r="A641" s="18" t="s">
        <v>2533</v>
      </c>
      <c r="B641" s="18">
        <v>23620142</v>
      </c>
      <c r="C641" s="18" t="s">
        <v>7421</v>
      </c>
      <c r="D641" s="18"/>
      <c r="E641" s="19">
        <v>29</v>
      </c>
      <c r="F641" s="18"/>
      <c r="G641" s="18" t="s">
        <v>9675</v>
      </c>
      <c r="H641" s="18" t="s">
        <v>9676</v>
      </c>
      <c r="I641" s="24">
        <v>41388</v>
      </c>
      <c r="J641" s="18" t="s">
        <v>11</v>
      </c>
      <c r="K641" s="18" t="s">
        <v>103</v>
      </c>
      <c r="L641" s="18" t="s">
        <v>9677</v>
      </c>
      <c r="M641" s="18"/>
      <c r="N641" s="18" t="s">
        <v>10</v>
      </c>
      <c r="O641" s="18" t="s">
        <v>10</v>
      </c>
      <c r="P641" s="18" t="s">
        <v>9678</v>
      </c>
      <c r="Q641" s="18" t="s">
        <v>33</v>
      </c>
      <c r="R641" s="18" t="s">
        <v>9679</v>
      </c>
      <c r="S641" s="1" t="s">
        <v>6243</v>
      </c>
      <c r="T641" s="1">
        <f t="shared" si="32"/>
        <v>9260</v>
      </c>
      <c r="U641" s="1">
        <f t="shared" si="33"/>
        <v>9260</v>
      </c>
      <c r="V641" s="1">
        <v>9260</v>
      </c>
    </row>
    <row r="642" spans="1:37" x14ac:dyDescent="0.2">
      <c r="A642" s="18" t="s">
        <v>9304</v>
      </c>
      <c r="B642" s="18">
        <v>23620144</v>
      </c>
      <c r="C642" s="18" t="s">
        <v>7421</v>
      </c>
      <c r="D642" s="18"/>
      <c r="E642" s="19">
        <v>37</v>
      </c>
      <c r="F642" s="18"/>
      <c r="G642" s="18" t="s">
        <v>9305</v>
      </c>
      <c r="H642" s="18" t="s">
        <v>6817</v>
      </c>
      <c r="I642" s="24">
        <v>41388</v>
      </c>
      <c r="J642" s="18" t="s">
        <v>11</v>
      </c>
      <c r="K642" s="18" t="s">
        <v>103</v>
      </c>
      <c r="L642" s="18" t="s">
        <v>9306</v>
      </c>
      <c r="M642" s="18"/>
      <c r="N642" s="18" t="s">
        <v>10</v>
      </c>
      <c r="O642" s="18" t="s">
        <v>10</v>
      </c>
      <c r="P642" s="18" t="s">
        <v>9307</v>
      </c>
      <c r="Q642" s="18" t="s">
        <v>9308</v>
      </c>
      <c r="R642" s="18" t="s">
        <v>9309</v>
      </c>
      <c r="S642" s="1" t="s">
        <v>6243</v>
      </c>
      <c r="T642" s="1">
        <f t="shared" si="32"/>
        <v>15120</v>
      </c>
      <c r="U642" s="1">
        <f t="shared" si="33"/>
        <v>1256</v>
      </c>
      <c r="V642" s="1">
        <v>1256</v>
      </c>
      <c r="AH642" s="1">
        <f>SUM(AI642:AT642)</f>
        <v>13864</v>
      </c>
      <c r="AI642" s="1">
        <v>13864</v>
      </c>
    </row>
    <row r="643" spans="1:37" x14ac:dyDescent="0.2">
      <c r="A643" s="18" t="s">
        <v>7656</v>
      </c>
      <c r="B643" s="18">
        <v>23624525</v>
      </c>
      <c r="C643" s="18" t="s">
        <v>7421</v>
      </c>
      <c r="D643" s="18"/>
      <c r="E643" s="19">
        <v>223</v>
      </c>
      <c r="F643" s="18"/>
      <c r="G643" s="18" t="s">
        <v>57</v>
      </c>
      <c r="H643" s="18" t="s">
        <v>7142</v>
      </c>
      <c r="I643" s="24">
        <v>41392</v>
      </c>
      <c r="J643" s="18" t="s">
        <v>11</v>
      </c>
      <c r="K643" s="18" t="s">
        <v>28</v>
      </c>
      <c r="L643" s="18" t="s">
        <v>7657</v>
      </c>
      <c r="M643" s="18"/>
      <c r="N643" s="18" t="s">
        <v>10</v>
      </c>
      <c r="O643" s="18" t="s">
        <v>10</v>
      </c>
      <c r="P643" s="18" t="s">
        <v>7658</v>
      </c>
      <c r="Q643" s="18" t="s">
        <v>7659</v>
      </c>
      <c r="R643" s="18" t="s">
        <v>7660</v>
      </c>
      <c r="S643" s="1" t="s">
        <v>6242</v>
      </c>
      <c r="T643" s="1">
        <f t="shared" si="32"/>
        <v>4848</v>
      </c>
      <c r="U643" s="1">
        <f t="shared" si="33"/>
        <v>2365</v>
      </c>
      <c r="X643" s="1">
        <f>506+1859</f>
        <v>2365</v>
      </c>
      <c r="AH643" s="1">
        <f>SUM(AI643:AT643)</f>
        <v>2483</v>
      </c>
      <c r="AK643" s="1">
        <f>706+1777</f>
        <v>2483</v>
      </c>
    </row>
    <row r="644" spans="1:37" x14ac:dyDescent="0.2">
      <c r="A644" s="18" t="s">
        <v>9554</v>
      </c>
      <c r="B644" s="18">
        <v>23626673</v>
      </c>
      <c r="C644" s="18" t="s">
        <v>7421</v>
      </c>
      <c r="D644" s="18"/>
      <c r="E644" s="19">
        <v>20</v>
      </c>
      <c r="F644" s="18"/>
      <c r="G644" s="18" t="s">
        <v>9555</v>
      </c>
      <c r="H644" s="18" t="s">
        <v>9556</v>
      </c>
      <c r="I644" s="24">
        <v>41387</v>
      </c>
      <c r="J644" s="18" t="s">
        <v>11</v>
      </c>
      <c r="K644" s="18" t="s">
        <v>181</v>
      </c>
      <c r="L644" s="18" t="s">
        <v>9557</v>
      </c>
      <c r="M644" s="18"/>
      <c r="N644" s="18" t="s">
        <v>10</v>
      </c>
      <c r="O644" s="18" t="s">
        <v>10</v>
      </c>
      <c r="P644" s="18" t="s">
        <v>9558</v>
      </c>
      <c r="Q644" s="18" t="s">
        <v>9559</v>
      </c>
      <c r="R644" s="18" t="s">
        <v>9560</v>
      </c>
      <c r="S644" s="1" t="s">
        <v>6243</v>
      </c>
      <c r="T644" s="1">
        <f t="shared" si="32"/>
        <v>2456</v>
      </c>
      <c r="U644" s="1">
        <f t="shared" si="33"/>
        <v>759</v>
      </c>
      <c r="V644" s="1">
        <f>392+367</f>
        <v>759</v>
      </c>
      <c r="AH644" s="1">
        <f>SUM(AI644:AT644)</f>
        <v>1697</v>
      </c>
      <c r="AI644" s="1">
        <f>428+1269</f>
        <v>1697</v>
      </c>
    </row>
    <row r="645" spans="1:37" x14ac:dyDescent="0.2">
      <c r="A645" s="18" t="s">
        <v>9052</v>
      </c>
      <c r="B645" s="18">
        <v>23631511</v>
      </c>
      <c r="C645" s="18" t="s">
        <v>7421</v>
      </c>
      <c r="D645" s="18">
        <v>1</v>
      </c>
      <c r="E645" s="19">
        <v>0</v>
      </c>
      <c r="F645" s="18"/>
      <c r="G645" s="18" t="s">
        <v>1878</v>
      </c>
      <c r="H645" s="18" t="s">
        <v>2561</v>
      </c>
      <c r="I645" s="24">
        <v>41394</v>
      </c>
      <c r="J645" s="18" t="s">
        <v>10</v>
      </c>
      <c r="K645" s="18" t="s">
        <v>215</v>
      </c>
      <c r="L645" s="18" t="s">
        <v>9053</v>
      </c>
      <c r="M645" s="18"/>
      <c r="N645" s="18" t="s">
        <v>10</v>
      </c>
      <c r="O645" s="18" t="s">
        <v>10</v>
      </c>
      <c r="P645" s="18" t="s">
        <v>33</v>
      </c>
      <c r="Q645" s="18" t="s">
        <v>33</v>
      </c>
      <c r="R645" s="18" t="s">
        <v>10943</v>
      </c>
      <c r="S645" s="1" t="s">
        <v>6248</v>
      </c>
      <c r="T645" s="1">
        <f t="shared" si="32"/>
        <v>0</v>
      </c>
      <c r="U645" s="1">
        <f t="shared" si="33"/>
        <v>0</v>
      </c>
    </row>
    <row r="646" spans="1:37" x14ac:dyDescent="0.2">
      <c r="A646" s="18" t="s">
        <v>9816</v>
      </c>
      <c r="B646" s="18">
        <v>23633020</v>
      </c>
      <c r="C646" s="18" t="s">
        <v>7421</v>
      </c>
      <c r="D646" s="18"/>
      <c r="E646" s="19">
        <v>1775</v>
      </c>
      <c r="F646" s="18"/>
      <c r="G646" s="18" t="s">
        <v>9817</v>
      </c>
      <c r="H646" s="18" t="s">
        <v>137</v>
      </c>
      <c r="I646" s="24">
        <v>41394</v>
      </c>
      <c r="J646" s="18" t="s">
        <v>10</v>
      </c>
      <c r="K646" s="18" t="s">
        <v>811</v>
      </c>
      <c r="L646" s="18" t="s">
        <v>9818</v>
      </c>
      <c r="M646" s="18"/>
      <c r="N646" s="18" t="s">
        <v>11</v>
      </c>
      <c r="O646" s="18" t="s">
        <v>10</v>
      </c>
      <c r="P646" s="18" t="s">
        <v>9819</v>
      </c>
      <c r="Q646" s="18" t="s">
        <v>9820</v>
      </c>
      <c r="R646" s="18" t="s">
        <v>9821</v>
      </c>
      <c r="S646" s="1" t="s">
        <v>6243</v>
      </c>
      <c r="T646" s="1">
        <f t="shared" si="32"/>
        <v>38897</v>
      </c>
      <c r="U646" s="1">
        <f t="shared" si="33"/>
        <v>33930</v>
      </c>
      <c r="V646" s="1">
        <f>13068+20862</f>
        <v>33930</v>
      </c>
      <c r="AH646" s="1">
        <f>SUM(AI646:AT646)</f>
        <v>4967</v>
      </c>
      <c r="AI646" s="1">
        <v>4967</v>
      </c>
    </row>
    <row r="647" spans="1:37" x14ac:dyDescent="0.2">
      <c r="A647" s="18" t="s">
        <v>8201</v>
      </c>
      <c r="B647" s="18">
        <v>23633212</v>
      </c>
      <c r="C647" s="18" t="s">
        <v>7421</v>
      </c>
      <c r="D647" s="18"/>
      <c r="E647" s="19">
        <v>144</v>
      </c>
      <c r="F647" s="18"/>
      <c r="G647" s="18" t="s">
        <v>10886</v>
      </c>
      <c r="H647" s="18" t="s">
        <v>10887</v>
      </c>
      <c r="I647" s="24">
        <v>41394</v>
      </c>
      <c r="J647" s="18" t="s">
        <v>11</v>
      </c>
      <c r="K647" s="18" t="s">
        <v>1316</v>
      </c>
      <c r="L647" s="18" t="s">
        <v>10892</v>
      </c>
      <c r="M647" s="18"/>
      <c r="N647" s="18" t="s">
        <v>10</v>
      </c>
      <c r="O647" s="18" t="s">
        <v>10</v>
      </c>
      <c r="P647" s="18" t="s">
        <v>10893</v>
      </c>
      <c r="Q647" s="18" t="s">
        <v>10894</v>
      </c>
      <c r="R647" s="18" t="s">
        <v>10895</v>
      </c>
      <c r="S647" s="1" t="s">
        <v>6243</v>
      </c>
      <c r="T647" s="1">
        <f t="shared" si="32"/>
        <v>508</v>
      </c>
      <c r="U647" s="1">
        <f t="shared" si="33"/>
        <v>175</v>
      </c>
      <c r="V647" s="1">
        <f>86+89</f>
        <v>175</v>
      </c>
      <c r="AH647" s="1">
        <f>SUM(AI647:AT647)</f>
        <v>333</v>
      </c>
      <c r="AI647" s="1">
        <f>169+164</f>
        <v>333</v>
      </c>
    </row>
    <row r="648" spans="1:37" x14ac:dyDescent="0.2">
      <c r="A648" s="18" t="s">
        <v>1088</v>
      </c>
      <c r="B648" s="18">
        <v>23636237</v>
      </c>
      <c r="C648" s="18" t="s">
        <v>7421</v>
      </c>
      <c r="D648" s="18"/>
      <c r="E648" s="19">
        <v>45</v>
      </c>
      <c r="F648" s="18"/>
      <c r="G648" s="18" t="s">
        <v>9514</v>
      </c>
      <c r="H648" s="18" t="s">
        <v>8460</v>
      </c>
      <c r="I648" s="24">
        <v>41395</v>
      </c>
      <c r="J648" s="18" t="s">
        <v>11</v>
      </c>
      <c r="K648" s="18" t="s">
        <v>2107</v>
      </c>
      <c r="L648" s="18" t="s">
        <v>9519</v>
      </c>
      <c r="M648" s="18"/>
      <c r="N648" s="18" t="s">
        <v>10</v>
      </c>
      <c r="O648" s="18" t="s">
        <v>10</v>
      </c>
      <c r="P648" s="18" t="s">
        <v>9520</v>
      </c>
      <c r="Q648" s="18" t="s">
        <v>9521</v>
      </c>
      <c r="R648" s="18" t="s">
        <v>9522</v>
      </c>
      <c r="S648" s="1" t="s">
        <v>6243</v>
      </c>
      <c r="T648" s="1">
        <f t="shared" si="32"/>
        <v>71070</v>
      </c>
      <c r="U648" s="1">
        <f t="shared" si="33"/>
        <v>37537</v>
      </c>
      <c r="V648" s="1">
        <v>37537</v>
      </c>
      <c r="AH648" s="1">
        <f>SUM(AI648:AT648)</f>
        <v>33533</v>
      </c>
      <c r="AI648" s="1">
        <v>33533</v>
      </c>
    </row>
    <row r="649" spans="1:37" x14ac:dyDescent="0.2">
      <c r="A649" s="18" t="s">
        <v>10426</v>
      </c>
      <c r="B649" s="18">
        <v>23637625</v>
      </c>
      <c r="C649" s="18" t="s">
        <v>7421</v>
      </c>
      <c r="D649" s="18"/>
      <c r="E649" s="19">
        <v>106</v>
      </c>
      <c r="F649" s="18"/>
      <c r="G649" s="18" t="s">
        <v>10427</v>
      </c>
      <c r="H649" s="18" t="s">
        <v>7146</v>
      </c>
      <c r="I649" s="24">
        <v>41389</v>
      </c>
      <c r="J649" s="18" t="s">
        <v>10</v>
      </c>
      <c r="K649" s="18" t="s">
        <v>65</v>
      </c>
      <c r="L649" s="18" t="s">
        <v>10428</v>
      </c>
      <c r="M649" s="18"/>
      <c r="N649" s="18" t="s">
        <v>10</v>
      </c>
      <c r="O649" s="18" t="s">
        <v>10</v>
      </c>
      <c r="P649" s="18" t="s">
        <v>10429</v>
      </c>
      <c r="Q649" s="18" t="s">
        <v>33</v>
      </c>
      <c r="R649" s="18" t="s">
        <v>10943</v>
      </c>
      <c r="S649" s="1" t="s">
        <v>6248</v>
      </c>
      <c r="T649" s="1">
        <f t="shared" si="32"/>
        <v>28928</v>
      </c>
      <c r="U649" s="1">
        <f t="shared" si="33"/>
        <v>28928</v>
      </c>
      <c r="AE649" s="1">
        <f>9379+7739+6990+4820</f>
        <v>28928</v>
      </c>
    </row>
    <row r="650" spans="1:37" x14ac:dyDescent="0.2">
      <c r="A650" s="18" t="s">
        <v>7926</v>
      </c>
      <c r="B650" s="18">
        <v>23642732</v>
      </c>
      <c r="C650" s="18" t="s">
        <v>7421</v>
      </c>
      <c r="D650" s="18"/>
      <c r="E650" s="19">
        <v>43</v>
      </c>
      <c r="F650" s="18"/>
      <c r="G650" s="18" t="s">
        <v>7927</v>
      </c>
      <c r="H650" s="18" t="s">
        <v>7928</v>
      </c>
      <c r="I650" s="24">
        <v>41383</v>
      </c>
      <c r="J650" s="18" t="s">
        <v>11</v>
      </c>
      <c r="K650" s="18" t="s">
        <v>816</v>
      </c>
      <c r="L650" s="18" t="s">
        <v>7929</v>
      </c>
      <c r="M650" s="18"/>
      <c r="N650" s="18" t="s">
        <v>10</v>
      </c>
      <c r="O650" s="18" t="s">
        <v>10</v>
      </c>
      <c r="P650" s="18" t="s">
        <v>7930</v>
      </c>
      <c r="Q650" s="18" t="s">
        <v>33</v>
      </c>
      <c r="R650" s="18" t="s">
        <v>7931</v>
      </c>
      <c r="S650" s="1" t="s">
        <v>6243</v>
      </c>
      <c r="T650" s="1">
        <f t="shared" si="32"/>
        <v>1180</v>
      </c>
      <c r="U650" s="1">
        <f t="shared" si="33"/>
        <v>1180</v>
      </c>
      <c r="V650" s="1">
        <v>1180</v>
      </c>
    </row>
    <row r="651" spans="1:37" x14ac:dyDescent="0.2">
      <c r="A651" s="18" t="s">
        <v>9773</v>
      </c>
      <c r="B651" s="18">
        <v>23643383</v>
      </c>
      <c r="C651" s="18" t="s">
        <v>7421</v>
      </c>
      <c r="D651" s="18"/>
      <c r="E651" s="19">
        <v>10</v>
      </c>
      <c r="F651" s="18"/>
      <c r="G651" s="18" t="s">
        <v>2569</v>
      </c>
      <c r="H651" s="18" t="s">
        <v>7156</v>
      </c>
      <c r="I651" s="24">
        <v>41396</v>
      </c>
      <c r="J651" s="18" t="s">
        <v>10</v>
      </c>
      <c r="K651" s="18" t="s">
        <v>16</v>
      </c>
      <c r="L651" s="18" t="s">
        <v>9774</v>
      </c>
      <c r="M651" s="18"/>
      <c r="N651" s="18" t="s">
        <v>10</v>
      </c>
      <c r="O651" s="18" t="s">
        <v>10</v>
      </c>
      <c r="P651" s="18" t="s">
        <v>9775</v>
      </c>
      <c r="Q651" s="18" t="s">
        <v>33</v>
      </c>
      <c r="R651" s="18" t="s">
        <v>9776</v>
      </c>
      <c r="S651" s="1" t="s">
        <v>6243</v>
      </c>
      <c r="T651" s="1">
        <f t="shared" si="32"/>
        <v>1701</v>
      </c>
      <c r="U651" s="1">
        <f t="shared" si="33"/>
        <v>1701</v>
      </c>
      <c r="V651" s="1">
        <f>809+892</f>
        <v>1701</v>
      </c>
    </row>
    <row r="652" spans="1:37" x14ac:dyDescent="0.2">
      <c r="A652" s="18" t="s">
        <v>10885</v>
      </c>
      <c r="B652" s="18">
        <v>23643386</v>
      </c>
      <c r="C652" s="18" t="s">
        <v>7421</v>
      </c>
      <c r="D652" s="18"/>
      <c r="E652" s="19">
        <v>137</v>
      </c>
      <c r="F652" s="18"/>
      <c r="G652" s="18" t="s">
        <v>10886</v>
      </c>
      <c r="H652" s="18" t="s">
        <v>10887</v>
      </c>
      <c r="I652" s="24">
        <v>41396</v>
      </c>
      <c r="J652" s="18" t="s">
        <v>11</v>
      </c>
      <c r="K652" s="18" t="s">
        <v>16</v>
      </c>
      <c r="L652" s="18" t="s">
        <v>10888</v>
      </c>
      <c r="M652" s="18"/>
      <c r="N652" s="18" t="s">
        <v>10</v>
      </c>
      <c r="O652" s="18" t="s">
        <v>10</v>
      </c>
      <c r="P652" s="18" t="s">
        <v>10889</v>
      </c>
      <c r="Q652" s="18" t="s">
        <v>10890</v>
      </c>
      <c r="R652" s="18" t="s">
        <v>10891</v>
      </c>
      <c r="S652" s="1" t="s">
        <v>6243</v>
      </c>
      <c r="T652" s="1">
        <f t="shared" si="32"/>
        <v>1020</v>
      </c>
      <c r="U652" s="1">
        <f t="shared" si="33"/>
        <v>693</v>
      </c>
      <c r="V652" s="1">
        <v>693</v>
      </c>
      <c r="AH652" s="1">
        <f>SUM(AI652:AT652)</f>
        <v>327</v>
      </c>
      <c r="AI652" s="1">
        <v>327</v>
      </c>
    </row>
    <row r="653" spans="1:37" x14ac:dyDescent="0.2">
      <c r="A653" s="18" t="s">
        <v>1515</v>
      </c>
      <c r="B653" s="18">
        <v>23644492</v>
      </c>
      <c r="C653" s="18" t="s">
        <v>7421</v>
      </c>
      <c r="D653" s="18"/>
      <c r="E653" s="19">
        <v>32</v>
      </c>
      <c r="F653" s="18"/>
      <c r="G653" s="18" t="s">
        <v>8774</v>
      </c>
      <c r="H653" s="18" t="s">
        <v>8775</v>
      </c>
      <c r="I653" s="24">
        <v>41399</v>
      </c>
      <c r="J653" s="18" t="s">
        <v>11</v>
      </c>
      <c r="K653" s="18" t="s">
        <v>28</v>
      </c>
      <c r="L653" s="18" t="s">
        <v>8776</v>
      </c>
      <c r="M653" s="18"/>
      <c r="N653" s="18" t="s">
        <v>10</v>
      </c>
      <c r="O653" s="18" t="s">
        <v>10</v>
      </c>
      <c r="P653" s="18" t="s">
        <v>8777</v>
      </c>
      <c r="Q653" s="18" t="s">
        <v>8778</v>
      </c>
      <c r="R653" s="18" t="s">
        <v>8779</v>
      </c>
      <c r="S653" s="1" t="s">
        <v>6242</v>
      </c>
      <c r="T653" s="1">
        <f t="shared" si="32"/>
        <v>2393</v>
      </c>
      <c r="U653" s="1">
        <f t="shared" si="33"/>
        <v>1331</v>
      </c>
      <c r="X653" s="1">
        <v>1331</v>
      </c>
      <c r="AH653" s="1">
        <f>SUM(AI653:AT653)</f>
        <v>1062</v>
      </c>
      <c r="AK653" s="1">
        <v>1062</v>
      </c>
    </row>
    <row r="654" spans="1:37" x14ac:dyDescent="0.2">
      <c r="A654" s="18" t="s">
        <v>2162</v>
      </c>
      <c r="B654" s="18">
        <v>23646285</v>
      </c>
      <c r="C654" s="18" t="s">
        <v>7421</v>
      </c>
      <c r="D654" s="18"/>
      <c r="E654" s="19">
        <v>11</v>
      </c>
      <c r="F654" s="18"/>
      <c r="G654" s="18" t="s">
        <v>8780</v>
      </c>
      <c r="H654" s="18" t="s">
        <v>268</v>
      </c>
      <c r="I654" s="24">
        <v>41380</v>
      </c>
      <c r="J654" s="18" t="s">
        <v>11</v>
      </c>
      <c r="K654" s="18" t="s">
        <v>8781</v>
      </c>
      <c r="L654" s="18" t="s">
        <v>8782</v>
      </c>
      <c r="M654" s="18"/>
      <c r="N654" s="18" t="s">
        <v>10</v>
      </c>
      <c r="O654" s="18" t="s">
        <v>10</v>
      </c>
      <c r="P654" s="18" t="s">
        <v>8783</v>
      </c>
      <c r="Q654" s="18" t="s">
        <v>33</v>
      </c>
      <c r="R654" s="18" t="s">
        <v>8784</v>
      </c>
      <c r="S654" s="1" t="s">
        <v>6242</v>
      </c>
      <c r="T654" s="1">
        <f t="shared" si="32"/>
        <v>687</v>
      </c>
      <c r="U654" s="1">
        <f t="shared" si="33"/>
        <v>687</v>
      </c>
      <c r="X654" s="1">
        <f>125+562</f>
        <v>687</v>
      </c>
    </row>
    <row r="655" spans="1:37" x14ac:dyDescent="0.2">
      <c r="A655" s="18" t="s">
        <v>1632</v>
      </c>
      <c r="B655" s="18">
        <v>23648065</v>
      </c>
      <c r="C655" s="18" t="s">
        <v>7421</v>
      </c>
      <c r="D655" s="18"/>
      <c r="E655" s="19">
        <v>1490</v>
      </c>
      <c r="F655" s="18"/>
      <c r="G655" s="18" t="s">
        <v>9748</v>
      </c>
      <c r="H655" s="18" t="s">
        <v>9749</v>
      </c>
      <c r="I655" s="24">
        <v>41435</v>
      </c>
      <c r="J655" s="18" t="s">
        <v>11</v>
      </c>
      <c r="K655" s="18" t="s">
        <v>9750</v>
      </c>
      <c r="L655" s="18" t="s">
        <v>9751</v>
      </c>
      <c r="M655" s="18"/>
      <c r="N655" s="18" t="s">
        <v>10</v>
      </c>
      <c r="O655" s="18" t="s">
        <v>10</v>
      </c>
      <c r="P655" s="18" t="s">
        <v>9752</v>
      </c>
      <c r="Q655" s="18" t="s">
        <v>33</v>
      </c>
      <c r="R655" s="18" t="s">
        <v>9753</v>
      </c>
      <c r="S655" s="1" t="s">
        <v>6242</v>
      </c>
      <c r="T655" s="1">
        <f t="shared" si="32"/>
        <v>1129</v>
      </c>
      <c r="U655" s="1">
        <f t="shared" si="33"/>
        <v>1129</v>
      </c>
      <c r="X655" s="1">
        <f>177+952</f>
        <v>1129</v>
      </c>
    </row>
    <row r="656" spans="1:37" x14ac:dyDescent="0.2">
      <c r="A656" s="18" t="s">
        <v>1765</v>
      </c>
      <c r="B656" s="18">
        <v>23650146</v>
      </c>
      <c r="C656" s="18" t="s">
        <v>7421</v>
      </c>
      <c r="D656" s="18"/>
      <c r="E656" s="19">
        <v>39</v>
      </c>
      <c r="F656" s="18"/>
      <c r="G656" s="18" t="s">
        <v>773</v>
      </c>
      <c r="H656" s="18" t="s">
        <v>7171</v>
      </c>
      <c r="I656" s="24">
        <v>41399</v>
      </c>
      <c r="J656" s="18" t="s">
        <v>11</v>
      </c>
      <c r="K656" s="18" t="s">
        <v>2891</v>
      </c>
      <c r="L656" s="18" t="s">
        <v>10834</v>
      </c>
      <c r="M656" s="18"/>
      <c r="N656" s="18" t="s">
        <v>10</v>
      </c>
      <c r="O656" s="18" t="s">
        <v>10</v>
      </c>
      <c r="P656" s="18" t="s">
        <v>10835</v>
      </c>
      <c r="Q656" s="18" t="s">
        <v>10836</v>
      </c>
      <c r="R656" s="18" t="s">
        <v>10837</v>
      </c>
      <c r="S656" s="1" t="s">
        <v>6243</v>
      </c>
      <c r="T656" s="1">
        <f t="shared" si="32"/>
        <v>51266</v>
      </c>
      <c r="U656" s="1">
        <f t="shared" si="33"/>
        <v>44499</v>
      </c>
      <c r="V656" s="1">
        <f>1618+42881</f>
        <v>44499</v>
      </c>
      <c r="AH656" s="1">
        <f>SUM(AI656:AT656)</f>
        <v>6767</v>
      </c>
      <c r="AI656" s="1">
        <f>3231+3536</f>
        <v>6767</v>
      </c>
    </row>
    <row r="657" spans="1:44" x14ac:dyDescent="0.2">
      <c r="A657" s="18" t="s">
        <v>9091</v>
      </c>
      <c r="B657" s="18">
        <v>23652523</v>
      </c>
      <c r="C657" s="18" t="s">
        <v>7421</v>
      </c>
      <c r="D657" s="18"/>
      <c r="E657" s="19">
        <v>65</v>
      </c>
      <c r="F657" s="18"/>
      <c r="G657" s="18" t="s">
        <v>9092</v>
      </c>
      <c r="H657" s="18" t="s">
        <v>9093</v>
      </c>
      <c r="I657" s="24">
        <v>41402</v>
      </c>
      <c r="J657" s="18" t="s">
        <v>11</v>
      </c>
      <c r="K657" s="18" t="s">
        <v>699</v>
      </c>
      <c r="L657" s="18" t="s">
        <v>9094</v>
      </c>
      <c r="M657" s="18"/>
      <c r="N657" s="18" t="s">
        <v>10</v>
      </c>
      <c r="O657" s="18" t="s">
        <v>10</v>
      </c>
      <c r="P657" s="18" t="s">
        <v>9095</v>
      </c>
      <c r="Q657" s="18" t="s">
        <v>33</v>
      </c>
      <c r="R657" s="18" t="s">
        <v>868</v>
      </c>
      <c r="S657" s="1" t="s">
        <v>6243</v>
      </c>
      <c r="T657" s="1">
        <f t="shared" si="32"/>
        <v>10485</v>
      </c>
      <c r="U657" s="1">
        <f t="shared" si="33"/>
        <v>10485</v>
      </c>
      <c r="V657" s="1">
        <f>2623+7862</f>
        <v>10485</v>
      </c>
    </row>
    <row r="658" spans="1:44" x14ac:dyDescent="0.2">
      <c r="A658" s="18" t="s">
        <v>8872</v>
      </c>
      <c r="B658" s="18">
        <v>23658558</v>
      </c>
      <c r="C658" s="18" t="s">
        <v>7421</v>
      </c>
      <c r="D658" s="18"/>
      <c r="E658" s="19">
        <v>109</v>
      </c>
      <c r="F658" s="18"/>
      <c r="G658" s="18" t="s">
        <v>2439</v>
      </c>
      <c r="H658" s="18" t="s">
        <v>179</v>
      </c>
      <c r="I658" s="24">
        <v>41402</v>
      </c>
      <c r="J658" s="18" t="s">
        <v>11</v>
      </c>
      <c r="K658" s="18" t="s">
        <v>6575</v>
      </c>
      <c r="L658" s="18" t="s">
        <v>10003</v>
      </c>
      <c r="M658" s="18"/>
      <c r="N658" s="18" t="s">
        <v>10</v>
      </c>
      <c r="O658" s="18" t="s">
        <v>10</v>
      </c>
      <c r="P658" s="18" t="s">
        <v>10004</v>
      </c>
      <c r="Q658" s="18" t="s">
        <v>10005</v>
      </c>
      <c r="R658" s="18" t="s">
        <v>10006</v>
      </c>
      <c r="S658" s="1" t="s">
        <v>6243</v>
      </c>
      <c r="T658" s="1">
        <f t="shared" si="32"/>
        <v>5002</v>
      </c>
      <c r="U658" s="1">
        <f t="shared" si="33"/>
        <v>2631</v>
      </c>
      <c r="V658" s="1">
        <v>2631</v>
      </c>
      <c r="AH658" s="1">
        <f>SUM(AI658:AT658)</f>
        <v>2371</v>
      </c>
      <c r="AI658" s="1">
        <f>1287+1084</f>
        <v>2371</v>
      </c>
    </row>
    <row r="659" spans="1:44" x14ac:dyDescent="0.2">
      <c r="A659" s="18" t="s">
        <v>9224</v>
      </c>
      <c r="B659" s="18">
        <v>23661040</v>
      </c>
      <c r="C659" s="18" t="s">
        <v>7421</v>
      </c>
      <c r="D659" s="18"/>
      <c r="E659" s="19">
        <v>4</v>
      </c>
      <c r="F659" s="18"/>
      <c r="G659" s="18" t="s">
        <v>6719</v>
      </c>
      <c r="H659" s="18" t="s">
        <v>8441</v>
      </c>
      <c r="I659" s="24">
        <v>41404</v>
      </c>
      <c r="J659" s="18" t="s">
        <v>11</v>
      </c>
      <c r="K659" s="18" t="s">
        <v>6574</v>
      </c>
      <c r="L659" s="18" t="s">
        <v>9225</v>
      </c>
      <c r="M659" s="18"/>
      <c r="N659" s="18" t="s">
        <v>11</v>
      </c>
      <c r="O659" s="18" t="s">
        <v>11</v>
      </c>
      <c r="P659" s="18" t="s">
        <v>9226</v>
      </c>
      <c r="Q659" s="18" t="s">
        <v>9227</v>
      </c>
      <c r="R659" s="18" t="s">
        <v>9223</v>
      </c>
      <c r="S659" s="1" t="s">
        <v>6242</v>
      </c>
      <c r="T659" s="1">
        <f t="shared" si="32"/>
        <v>3495</v>
      </c>
      <c r="U659" s="1">
        <f t="shared" si="33"/>
        <v>1999</v>
      </c>
      <c r="X659" s="1">
        <v>1999</v>
      </c>
      <c r="AH659" s="1">
        <f>SUM(AI659:AT659)</f>
        <v>1496</v>
      </c>
      <c r="AK659" s="1">
        <f>996+500</f>
        <v>1496</v>
      </c>
    </row>
    <row r="660" spans="1:44" x14ac:dyDescent="0.2">
      <c r="A660" s="18" t="s">
        <v>8569</v>
      </c>
      <c r="B660" s="18">
        <v>23665963</v>
      </c>
      <c r="C660" s="18" t="s">
        <v>7421</v>
      </c>
      <c r="D660" s="18"/>
      <c r="E660" s="19">
        <v>32</v>
      </c>
      <c r="F660" s="18"/>
      <c r="G660" s="18" t="s">
        <v>8570</v>
      </c>
      <c r="H660" s="18" t="s">
        <v>8571</v>
      </c>
      <c r="I660" s="24">
        <v>41456</v>
      </c>
      <c r="J660" s="18" t="s">
        <v>11</v>
      </c>
      <c r="K660" s="18" t="s">
        <v>2897</v>
      </c>
      <c r="L660" s="18" t="s">
        <v>8572</v>
      </c>
      <c r="M660" s="18"/>
      <c r="N660" s="18" t="s">
        <v>10</v>
      </c>
      <c r="O660" s="18" t="s">
        <v>10</v>
      </c>
      <c r="P660" s="18" t="s">
        <v>8573</v>
      </c>
      <c r="Q660" s="18" t="s">
        <v>33</v>
      </c>
      <c r="R660" s="18" t="s">
        <v>8574</v>
      </c>
      <c r="S660" s="1" t="s">
        <v>6243</v>
      </c>
      <c r="T660" s="1">
        <f t="shared" si="32"/>
        <v>614</v>
      </c>
      <c r="U660" s="1">
        <f t="shared" si="33"/>
        <v>614</v>
      </c>
      <c r="V660" s="1">
        <f>239+375</f>
        <v>614</v>
      </c>
    </row>
    <row r="661" spans="1:44" x14ac:dyDescent="0.2">
      <c r="A661" s="18" t="s">
        <v>2330</v>
      </c>
      <c r="B661" s="18">
        <v>23666238</v>
      </c>
      <c r="C661" s="18" t="s">
        <v>7421</v>
      </c>
      <c r="D661" s="18"/>
      <c r="E661" s="19">
        <v>10</v>
      </c>
      <c r="F661" s="18"/>
      <c r="G661" s="18" t="s">
        <v>2037</v>
      </c>
      <c r="H661" s="18" t="s">
        <v>7043</v>
      </c>
      <c r="I661" s="24">
        <v>41406</v>
      </c>
      <c r="J661" s="18" t="s">
        <v>11</v>
      </c>
      <c r="K661" s="18" t="s">
        <v>28</v>
      </c>
      <c r="L661" s="18" t="s">
        <v>7472</v>
      </c>
      <c r="M661" s="18"/>
      <c r="N661" s="18" t="s">
        <v>10</v>
      </c>
      <c r="O661" s="18" t="s">
        <v>10</v>
      </c>
      <c r="P661" s="18" t="s">
        <v>7473</v>
      </c>
      <c r="Q661" s="18" t="s">
        <v>7474</v>
      </c>
      <c r="R661" s="18" t="s">
        <v>7475</v>
      </c>
      <c r="S661" s="1" t="s">
        <v>6244</v>
      </c>
      <c r="T661" s="1">
        <f t="shared" si="32"/>
        <v>30894</v>
      </c>
      <c r="U661" s="1">
        <f t="shared" si="33"/>
        <v>2506</v>
      </c>
      <c r="X661" s="1">
        <f>1033+1473</f>
        <v>2506</v>
      </c>
      <c r="AH661" s="1">
        <f>SUM(AI661:AT661)</f>
        <v>28388</v>
      </c>
      <c r="AI661" s="1">
        <f>447+737</f>
        <v>1184</v>
      </c>
      <c r="AK661" s="1">
        <f>786+743+24466+1209</f>
        <v>27204</v>
      </c>
    </row>
    <row r="662" spans="1:44" x14ac:dyDescent="0.2">
      <c r="A662" s="18" t="s">
        <v>1269</v>
      </c>
      <c r="B662" s="18">
        <v>23666239</v>
      </c>
      <c r="C662" s="18" t="s">
        <v>7421</v>
      </c>
      <c r="D662" s="18"/>
      <c r="E662" s="19">
        <v>66</v>
      </c>
      <c r="F662" s="18"/>
      <c r="G662" s="18" t="s">
        <v>10652</v>
      </c>
      <c r="H662" s="18" t="s">
        <v>6692</v>
      </c>
      <c r="I662" s="24">
        <v>41406</v>
      </c>
      <c r="J662" s="18" t="s">
        <v>11</v>
      </c>
      <c r="K662" s="18" t="s">
        <v>28</v>
      </c>
      <c r="L662" s="18" t="s">
        <v>10653</v>
      </c>
      <c r="M662" s="18"/>
      <c r="N662" s="18" t="s">
        <v>11</v>
      </c>
      <c r="O662" s="18" t="s">
        <v>11</v>
      </c>
      <c r="P662" s="18" t="s">
        <v>10654</v>
      </c>
      <c r="Q662" s="18" t="s">
        <v>10655</v>
      </c>
      <c r="R662" s="18" t="s">
        <v>10945</v>
      </c>
      <c r="S662" s="1" t="s">
        <v>6243</v>
      </c>
      <c r="T662" s="1">
        <f t="shared" si="32"/>
        <v>13708</v>
      </c>
      <c r="U662" s="1">
        <f t="shared" si="33"/>
        <v>1638</v>
      </c>
      <c r="V662" s="1">
        <f>582+1056</f>
        <v>1638</v>
      </c>
      <c r="AH662" s="1">
        <f>SUM(AI662:AT662)</f>
        <v>12070</v>
      </c>
      <c r="AI662" s="1">
        <f>3560+8510</f>
        <v>12070</v>
      </c>
    </row>
    <row r="663" spans="1:44" x14ac:dyDescent="0.2">
      <c r="A663" s="18" t="s">
        <v>7789</v>
      </c>
      <c r="B663" s="18">
        <v>23666277</v>
      </c>
      <c r="C663" s="18" t="s">
        <v>7421</v>
      </c>
      <c r="D663" s="18"/>
      <c r="E663" s="19">
        <v>6</v>
      </c>
      <c r="F663" s="18"/>
      <c r="G663" s="18" t="s">
        <v>799</v>
      </c>
      <c r="H663" s="18" t="s">
        <v>7052</v>
      </c>
      <c r="I663" s="24">
        <v>41406</v>
      </c>
      <c r="J663" s="18" t="s">
        <v>10</v>
      </c>
      <c r="K663" s="18" t="s">
        <v>595</v>
      </c>
      <c r="L663" s="18" t="s">
        <v>7790</v>
      </c>
      <c r="M663" s="18"/>
      <c r="N663" s="18" t="s">
        <v>10</v>
      </c>
      <c r="O663" s="18" t="s">
        <v>10</v>
      </c>
      <c r="P663" s="18" t="s">
        <v>7791</v>
      </c>
      <c r="Q663" s="18" t="s">
        <v>33</v>
      </c>
      <c r="R663" s="18" t="s">
        <v>868</v>
      </c>
      <c r="S663" s="1" t="s">
        <v>6440</v>
      </c>
      <c r="T663" s="1">
        <f t="shared" si="32"/>
        <v>4673</v>
      </c>
      <c r="U663" s="1">
        <f t="shared" si="33"/>
        <v>4673</v>
      </c>
      <c r="W663" s="1">
        <f>745+3928</f>
        <v>4673</v>
      </c>
    </row>
    <row r="664" spans="1:44" x14ac:dyDescent="0.2">
      <c r="A664" s="18" t="s">
        <v>7482</v>
      </c>
      <c r="B664" s="18">
        <v>23667675</v>
      </c>
      <c r="C664" s="18" t="s">
        <v>7421</v>
      </c>
      <c r="D664" s="18"/>
      <c r="E664" s="19">
        <v>50</v>
      </c>
      <c r="F664" s="18"/>
      <c r="G664" s="18" t="s">
        <v>776</v>
      </c>
      <c r="H664" s="18" t="s">
        <v>7483</v>
      </c>
      <c r="I664" s="24">
        <v>41401</v>
      </c>
      <c r="J664" s="18" t="s">
        <v>11</v>
      </c>
      <c r="K664" s="18" t="s">
        <v>181</v>
      </c>
      <c r="L664" s="18" t="s">
        <v>7484</v>
      </c>
      <c r="M664" s="18"/>
      <c r="N664" s="18" t="s">
        <v>11</v>
      </c>
      <c r="O664" s="18" t="s">
        <v>11</v>
      </c>
      <c r="P664" s="18" t="s">
        <v>7485</v>
      </c>
      <c r="Q664" s="18" t="s">
        <v>33</v>
      </c>
      <c r="R664" s="18" t="s">
        <v>7486</v>
      </c>
      <c r="S664" s="1" t="s">
        <v>6242</v>
      </c>
      <c r="T664" s="1">
        <f t="shared" si="32"/>
        <v>15495</v>
      </c>
      <c r="U664" s="1">
        <f t="shared" si="33"/>
        <v>15495</v>
      </c>
      <c r="X664" s="1">
        <v>15495</v>
      </c>
    </row>
    <row r="665" spans="1:44" x14ac:dyDescent="0.2">
      <c r="A665" s="18" t="s">
        <v>10170</v>
      </c>
      <c r="B665" s="18">
        <v>23668334</v>
      </c>
      <c r="C665" s="18" t="s">
        <v>7421</v>
      </c>
      <c r="D665" s="18"/>
      <c r="E665" s="19">
        <v>5742</v>
      </c>
      <c r="F665" s="18"/>
      <c r="G665" s="18" t="s">
        <v>77</v>
      </c>
      <c r="H665" s="18" t="s">
        <v>6689</v>
      </c>
      <c r="I665" s="24">
        <v>41407</v>
      </c>
      <c r="J665" s="18" t="s">
        <v>11</v>
      </c>
      <c r="K665" s="18" t="s">
        <v>10171</v>
      </c>
      <c r="L665" s="18" t="s">
        <v>10172</v>
      </c>
      <c r="M665" s="18"/>
      <c r="N665" s="18" t="s">
        <v>11</v>
      </c>
      <c r="O665" s="18" t="s">
        <v>11</v>
      </c>
      <c r="P665" s="18" t="s">
        <v>10173</v>
      </c>
      <c r="Q665" s="18" t="s">
        <v>10174</v>
      </c>
      <c r="R665" s="18" t="s">
        <v>10175</v>
      </c>
      <c r="S665" s="1" t="s">
        <v>6434</v>
      </c>
      <c r="T665" s="1">
        <f t="shared" si="32"/>
        <v>558</v>
      </c>
      <c r="U665" s="1">
        <f t="shared" si="33"/>
        <v>221</v>
      </c>
      <c r="AC665" s="1">
        <v>221</v>
      </c>
      <c r="AH665" s="1">
        <f>SUM(AI665:AT665)</f>
        <v>337</v>
      </c>
      <c r="AP665" s="1">
        <f>155+182</f>
        <v>337</v>
      </c>
    </row>
    <row r="666" spans="1:44" x14ac:dyDescent="0.2">
      <c r="A666" s="18" t="s">
        <v>8063</v>
      </c>
      <c r="B666" s="18">
        <v>23669352</v>
      </c>
      <c r="C666" s="18" t="s">
        <v>7421</v>
      </c>
      <c r="D666" s="18"/>
      <c r="E666" s="19">
        <v>111</v>
      </c>
      <c r="F666" s="18"/>
      <c r="G666" s="18" t="s">
        <v>8064</v>
      </c>
      <c r="H666" s="18" t="s">
        <v>8065</v>
      </c>
      <c r="I666" s="24">
        <v>41406</v>
      </c>
      <c r="J666" s="18" t="s">
        <v>11</v>
      </c>
      <c r="K666" s="18" t="s">
        <v>103</v>
      </c>
      <c r="L666" s="18" t="s">
        <v>8066</v>
      </c>
      <c r="M666" s="18"/>
      <c r="N666" s="18" t="s">
        <v>10</v>
      </c>
      <c r="O666" s="18" t="s">
        <v>10</v>
      </c>
      <c r="P666" s="18" t="s">
        <v>8067</v>
      </c>
      <c r="Q666" s="18" t="s">
        <v>8068</v>
      </c>
      <c r="R666" s="18" t="s">
        <v>8069</v>
      </c>
      <c r="S666" s="1" t="s">
        <v>6243</v>
      </c>
      <c r="T666" s="1">
        <f t="shared" si="32"/>
        <v>29880</v>
      </c>
      <c r="U666" s="1">
        <f t="shared" si="33"/>
        <v>13627</v>
      </c>
      <c r="V666" s="1">
        <v>13627</v>
      </c>
      <c r="AH666" s="1">
        <f>SUM(AI666:AT666)</f>
        <v>16253</v>
      </c>
      <c r="AI666" s="1">
        <v>16253</v>
      </c>
    </row>
    <row r="667" spans="1:44" x14ac:dyDescent="0.2">
      <c r="A667" s="18" t="s">
        <v>8620</v>
      </c>
      <c r="B667" s="18">
        <v>23670970</v>
      </c>
      <c r="C667" s="18" t="s">
        <v>7421</v>
      </c>
      <c r="D667" s="18"/>
      <c r="E667" s="19">
        <v>44</v>
      </c>
      <c r="F667" s="18"/>
      <c r="G667" s="18" t="s">
        <v>8621</v>
      </c>
      <c r="H667" s="18" t="s">
        <v>8622</v>
      </c>
      <c r="I667" s="24">
        <v>41407</v>
      </c>
      <c r="J667" s="18" t="s">
        <v>11</v>
      </c>
      <c r="K667" s="18" t="s">
        <v>90</v>
      </c>
      <c r="L667" s="18" t="s">
        <v>8623</v>
      </c>
      <c r="M667" s="18"/>
      <c r="N667" s="18" t="s">
        <v>10</v>
      </c>
      <c r="O667" s="18" t="s">
        <v>10</v>
      </c>
      <c r="P667" s="18" t="s">
        <v>8624</v>
      </c>
      <c r="Q667" s="18" t="s">
        <v>8625</v>
      </c>
      <c r="R667" s="18" t="s">
        <v>8626</v>
      </c>
      <c r="S667" s="1" t="s">
        <v>6248</v>
      </c>
      <c r="T667" s="1">
        <f t="shared" si="32"/>
        <v>3753</v>
      </c>
      <c r="U667" s="1">
        <f t="shared" si="33"/>
        <v>3059</v>
      </c>
      <c r="AE667" s="1">
        <f>644+2415</f>
        <v>3059</v>
      </c>
      <c r="AH667" s="1">
        <f>SUM(AI667:AT667)</f>
        <v>694</v>
      </c>
      <c r="AR667" s="1">
        <f>124+570</f>
        <v>694</v>
      </c>
    </row>
    <row r="668" spans="1:44" x14ac:dyDescent="0.2">
      <c r="A668" s="18" t="s">
        <v>8929</v>
      </c>
      <c r="B668" s="18">
        <v>23671422</v>
      </c>
      <c r="C668" s="18" t="s">
        <v>7421</v>
      </c>
      <c r="D668" s="18"/>
      <c r="E668" s="19">
        <v>3</v>
      </c>
      <c r="F668" s="18">
        <v>1</v>
      </c>
      <c r="G668" s="18" t="s">
        <v>8930</v>
      </c>
      <c r="H668" s="18" t="s">
        <v>7347</v>
      </c>
      <c r="I668" s="24">
        <v>41403</v>
      </c>
      <c r="J668" s="18" t="s">
        <v>10</v>
      </c>
      <c r="K668" s="18" t="s">
        <v>65</v>
      </c>
      <c r="L668" s="18" t="s">
        <v>8931</v>
      </c>
      <c r="M668" s="18"/>
      <c r="N668" s="18" t="s">
        <v>10</v>
      </c>
      <c r="O668" s="18" t="s">
        <v>10</v>
      </c>
      <c r="P668" s="18" t="s">
        <v>8932</v>
      </c>
      <c r="Q668" s="18" t="s">
        <v>33</v>
      </c>
      <c r="R668" s="18" t="s">
        <v>8933</v>
      </c>
      <c r="S668" s="1" t="s">
        <v>6248</v>
      </c>
      <c r="T668" s="1">
        <f t="shared" si="32"/>
        <v>75</v>
      </c>
      <c r="U668" s="1">
        <f t="shared" si="33"/>
        <v>75</v>
      </c>
      <c r="AE668" s="1">
        <v>75</v>
      </c>
    </row>
    <row r="669" spans="1:44" x14ac:dyDescent="0.2">
      <c r="A669" s="18" t="s">
        <v>10554</v>
      </c>
      <c r="B669" s="18">
        <v>23674528</v>
      </c>
      <c r="C669" s="18" t="s">
        <v>7421</v>
      </c>
      <c r="D669" s="18"/>
      <c r="E669" s="19">
        <v>60</v>
      </c>
      <c r="F669" s="18"/>
      <c r="G669" s="18" t="s">
        <v>50</v>
      </c>
      <c r="H669" s="18" t="s">
        <v>7170</v>
      </c>
      <c r="I669" s="24">
        <v>41408</v>
      </c>
      <c r="J669" s="18" t="s">
        <v>10</v>
      </c>
      <c r="K669" s="18" t="s">
        <v>50</v>
      </c>
      <c r="L669" s="18" t="s">
        <v>10555</v>
      </c>
      <c r="M669" s="18"/>
      <c r="N669" s="18" t="s">
        <v>10</v>
      </c>
      <c r="O669" s="18" t="s">
        <v>10</v>
      </c>
      <c r="P669" s="18" t="s">
        <v>10556</v>
      </c>
      <c r="Q669" s="18" t="s">
        <v>33</v>
      </c>
      <c r="R669" s="18" t="s">
        <v>9084</v>
      </c>
      <c r="S669" s="1" t="s">
        <v>6243</v>
      </c>
      <c r="T669" s="1">
        <f t="shared" si="32"/>
        <v>2588</v>
      </c>
      <c r="U669" s="1">
        <f t="shared" si="33"/>
        <v>2588</v>
      </c>
      <c r="V669" s="1">
        <v>2588</v>
      </c>
    </row>
    <row r="670" spans="1:44" x14ac:dyDescent="0.2">
      <c r="A670" s="18" t="s">
        <v>10298</v>
      </c>
      <c r="B670" s="18">
        <v>23674605</v>
      </c>
      <c r="C670" s="18" t="s">
        <v>7421</v>
      </c>
      <c r="D670" s="18"/>
      <c r="E670" s="19">
        <v>8</v>
      </c>
      <c r="F670" s="18"/>
      <c r="G670" s="18" t="s">
        <v>10299</v>
      </c>
      <c r="H670" s="18" t="s">
        <v>10300</v>
      </c>
      <c r="I670" s="24">
        <v>41408</v>
      </c>
      <c r="J670" s="18" t="s">
        <v>10</v>
      </c>
      <c r="K670" s="18" t="s">
        <v>90</v>
      </c>
      <c r="L670" s="18" t="s">
        <v>10301</v>
      </c>
      <c r="M670" s="18"/>
      <c r="N670" s="18" t="s">
        <v>10</v>
      </c>
      <c r="O670" s="18" t="s">
        <v>10</v>
      </c>
      <c r="P670" s="18" t="s">
        <v>10302</v>
      </c>
      <c r="Q670" s="18" t="s">
        <v>33</v>
      </c>
      <c r="R670" s="18" t="s">
        <v>10303</v>
      </c>
      <c r="S670" s="1" t="s">
        <v>6243</v>
      </c>
      <c r="T670" s="1">
        <f t="shared" si="32"/>
        <v>232</v>
      </c>
      <c r="U670" s="1">
        <f t="shared" si="33"/>
        <v>232</v>
      </c>
      <c r="V670" s="1">
        <v>232</v>
      </c>
    </row>
    <row r="671" spans="1:44" x14ac:dyDescent="0.2">
      <c r="A671" s="18" t="s">
        <v>1135</v>
      </c>
      <c r="B671" s="18">
        <v>23677057</v>
      </c>
      <c r="C671" s="18" t="s">
        <v>7421</v>
      </c>
      <c r="D671" s="18"/>
      <c r="E671" s="19">
        <v>37</v>
      </c>
      <c r="F671" s="18"/>
      <c r="G671" s="18" t="s">
        <v>8521</v>
      </c>
      <c r="H671" s="18" t="s">
        <v>8522</v>
      </c>
      <c r="I671" s="24">
        <v>41410</v>
      </c>
      <c r="J671" s="18" t="s">
        <v>11</v>
      </c>
      <c r="K671" s="18" t="s">
        <v>689</v>
      </c>
      <c r="L671" s="18" t="s">
        <v>8523</v>
      </c>
      <c r="M671" s="18"/>
      <c r="N671" s="18" t="s">
        <v>10</v>
      </c>
      <c r="O671" s="18" t="s">
        <v>10</v>
      </c>
      <c r="P671" s="18" t="s">
        <v>8524</v>
      </c>
      <c r="Q671" s="18" t="s">
        <v>8525</v>
      </c>
      <c r="R671" s="18" t="s">
        <v>8526</v>
      </c>
      <c r="S671" s="1" t="s">
        <v>6242</v>
      </c>
      <c r="T671" s="1">
        <f t="shared" si="32"/>
        <v>363</v>
      </c>
      <c r="U671" s="1">
        <f t="shared" si="33"/>
        <v>140</v>
      </c>
      <c r="X671" s="1">
        <v>140</v>
      </c>
      <c r="AH671" s="1">
        <f>SUM(AI671:AT671)</f>
        <v>223</v>
      </c>
      <c r="AK671" s="1">
        <f>32+191</f>
        <v>223</v>
      </c>
    </row>
    <row r="672" spans="1:44" x14ac:dyDescent="0.2">
      <c r="A672" s="18" t="s">
        <v>1275</v>
      </c>
      <c r="B672" s="18">
        <v>23677573</v>
      </c>
      <c r="C672" s="18" t="s">
        <v>7421</v>
      </c>
      <c r="D672" s="18"/>
      <c r="E672" s="19">
        <v>61</v>
      </c>
      <c r="F672" s="18"/>
      <c r="G672" s="18" t="s">
        <v>8411</v>
      </c>
      <c r="H672" s="18" t="s">
        <v>8412</v>
      </c>
      <c r="I672" s="24">
        <v>41409</v>
      </c>
      <c r="J672" s="18" t="s">
        <v>10</v>
      </c>
      <c r="K672" s="18" t="s">
        <v>1396</v>
      </c>
      <c r="L672" s="18" t="s">
        <v>8413</v>
      </c>
      <c r="M672" s="18"/>
      <c r="N672" s="18" t="s">
        <v>10</v>
      </c>
      <c r="O672" s="18" t="s">
        <v>10</v>
      </c>
      <c r="P672" s="18" t="s">
        <v>8414</v>
      </c>
      <c r="Q672" s="18" t="s">
        <v>8415</v>
      </c>
      <c r="R672" s="18" t="s">
        <v>8416</v>
      </c>
      <c r="S672" s="1" t="s">
        <v>6243</v>
      </c>
      <c r="T672" s="1">
        <f t="shared" si="32"/>
        <v>5836</v>
      </c>
      <c r="U672" s="1">
        <f t="shared" si="33"/>
        <v>1867</v>
      </c>
      <c r="V672" s="1">
        <f>958+909</f>
        <v>1867</v>
      </c>
      <c r="AH672" s="1">
        <f>SUM(AI672:AT672)</f>
        <v>3969</v>
      </c>
      <c r="AI672" s="1">
        <f>1593+2376</f>
        <v>3969</v>
      </c>
    </row>
    <row r="673" spans="1:44" x14ac:dyDescent="0.2">
      <c r="A673" s="18" t="s">
        <v>1220</v>
      </c>
      <c r="B673" s="18">
        <v>23691058</v>
      </c>
      <c r="C673" s="18" t="s">
        <v>7421</v>
      </c>
      <c r="D673" s="18"/>
      <c r="E673" s="19">
        <v>30</v>
      </c>
      <c r="F673" s="18"/>
      <c r="G673" s="18" t="s">
        <v>968</v>
      </c>
      <c r="H673" s="18" t="s">
        <v>7207</v>
      </c>
      <c r="I673" s="24">
        <v>41408</v>
      </c>
      <c r="J673" s="18" t="s">
        <v>10</v>
      </c>
      <c r="K673" s="18" t="s">
        <v>181</v>
      </c>
      <c r="L673" s="18" t="s">
        <v>7581</v>
      </c>
      <c r="M673" s="18"/>
      <c r="N673" s="18" t="s">
        <v>10</v>
      </c>
      <c r="O673" s="18" t="s">
        <v>10</v>
      </c>
      <c r="P673" s="18" t="s">
        <v>7582</v>
      </c>
      <c r="Q673" s="18" t="s">
        <v>33</v>
      </c>
      <c r="R673" s="18" t="s">
        <v>10922</v>
      </c>
      <c r="S673" s="1" t="s">
        <v>6243</v>
      </c>
      <c r="T673" s="1">
        <f t="shared" si="32"/>
        <v>1399</v>
      </c>
      <c r="U673" s="1">
        <f t="shared" si="33"/>
        <v>1399</v>
      </c>
      <c r="V673" s="1">
        <f>847+552</f>
        <v>1399</v>
      </c>
    </row>
    <row r="674" spans="1:44" x14ac:dyDescent="0.2">
      <c r="A674" s="18" t="s">
        <v>1991</v>
      </c>
      <c r="B674" s="18">
        <v>23696099</v>
      </c>
      <c r="C674" s="18" t="s">
        <v>7421</v>
      </c>
      <c r="D674" s="18"/>
      <c r="E674" s="19">
        <v>16</v>
      </c>
      <c r="F674" s="18"/>
      <c r="G674" s="18" t="s">
        <v>6774</v>
      </c>
      <c r="H674" s="18" t="s">
        <v>7219</v>
      </c>
      <c r="I674" s="24">
        <v>41463</v>
      </c>
      <c r="J674" s="18" t="s">
        <v>11</v>
      </c>
      <c r="K674" s="18" t="s">
        <v>6576</v>
      </c>
      <c r="L674" s="18" t="s">
        <v>8010</v>
      </c>
      <c r="M674" s="18"/>
      <c r="N674" s="18" t="s">
        <v>10</v>
      </c>
      <c r="O674" s="18" t="s">
        <v>10</v>
      </c>
      <c r="P674" s="18" t="s">
        <v>8011</v>
      </c>
      <c r="Q674" s="18" t="s">
        <v>8012</v>
      </c>
      <c r="R674" s="18" t="s">
        <v>8013</v>
      </c>
      <c r="S674" s="1" t="s">
        <v>6440</v>
      </c>
      <c r="T674" s="1">
        <f t="shared" si="32"/>
        <v>2315</v>
      </c>
      <c r="U674" s="1">
        <f t="shared" si="33"/>
        <v>1904</v>
      </c>
      <c r="W674" s="1">
        <f>1904</f>
        <v>1904</v>
      </c>
      <c r="AH674" s="1">
        <f>SUM(AI674:AT674)</f>
        <v>411</v>
      </c>
      <c r="AJ674" s="1">
        <v>411</v>
      </c>
    </row>
    <row r="675" spans="1:44" x14ac:dyDescent="0.2">
      <c r="A675" s="18" t="s">
        <v>9310</v>
      </c>
      <c r="B675" s="18">
        <v>23696630</v>
      </c>
      <c r="C675" s="18" t="s">
        <v>7421</v>
      </c>
      <c r="D675" s="18"/>
      <c r="E675" s="19">
        <v>114</v>
      </c>
      <c r="F675" s="18"/>
      <c r="G675" s="18" t="s">
        <v>9311</v>
      </c>
      <c r="H675" s="18" t="s">
        <v>7340</v>
      </c>
      <c r="I675" s="24">
        <v>41415</v>
      </c>
      <c r="J675" s="18" t="s">
        <v>10</v>
      </c>
      <c r="K675" s="18" t="s">
        <v>1944</v>
      </c>
      <c r="L675" s="18" t="s">
        <v>9312</v>
      </c>
      <c r="M675" s="18"/>
      <c r="N675" s="18" t="s">
        <v>10</v>
      </c>
      <c r="O675" s="18" t="s">
        <v>10</v>
      </c>
      <c r="P675" s="18" t="s">
        <v>9313</v>
      </c>
      <c r="Q675" s="18" t="s">
        <v>9314</v>
      </c>
      <c r="R675" s="18" t="s">
        <v>9315</v>
      </c>
      <c r="S675" s="1" t="s">
        <v>6243</v>
      </c>
      <c r="T675" s="1">
        <f t="shared" si="32"/>
        <v>1526</v>
      </c>
      <c r="U675" s="1">
        <f t="shared" si="33"/>
        <v>600</v>
      </c>
      <c r="V675" s="1">
        <v>600</v>
      </c>
      <c r="AH675" s="1">
        <f>SUM(AI675:AT675)</f>
        <v>926</v>
      </c>
      <c r="AR675" s="1">
        <v>926</v>
      </c>
    </row>
    <row r="676" spans="1:44" x14ac:dyDescent="0.2">
      <c r="A676" s="18" t="s">
        <v>2586</v>
      </c>
      <c r="B676" s="18">
        <v>23696881</v>
      </c>
      <c r="C676" s="18" t="s">
        <v>7421</v>
      </c>
      <c r="D676" s="18"/>
      <c r="E676" s="19">
        <v>60</v>
      </c>
      <c r="F676" s="18"/>
      <c r="G676" s="18" t="s">
        <v>7422</v>
      </c>
      <c r="H676" s="18" t="s">
        <v>7423</v>
      </c>
      <c r="I676" s="24">
        <v>41410</v>
      </c>
      <c r="J676" s="18" t="s">
        <v>10</v>
      </c>
      <c r="K676" s="18" t="s">
        <v>181</v>
      </c>
      <c r="L676" s="18" t="s">
        <v>7424</v>
      </c>
      <c r="M676" s="18"/>
      <c r="N676" s="18" t="s">
        <v>11</v>
      </c>
      <c r="O676" s="18" t="s">
        <v>10</v>
      </c>
      <c r="P676" s="18" t="s">
        <v>10914</v>
      </c>
      <c r="Q676" s="18" t="s">
        <v>10915</v>
      </c>
      <c r="R676" s="18" t="s">
        <v>7425</v>
      </c>
      <c r="S676" s="1" t="s">
        <v>6244</v>
      </c>
      <c r="T676" s="1">
        <f t="shared" si="32"/>
        <v>5278</v>
      </c>
      <c r="U676" s="1">
        <f t="shared" si="33"/>
        <v>1210</v>
      </c>
      <c r="V676" s="1">
        <v>1210</v>
      </c>
      <c r="AH676" s="1">
        <f>SUM(AI676:AT676)</f>
        <v>4068</v>
      </c>
      <c r="AR676" s="1">
        <v>4068</v>
      </c>
    </row>
    <row r="677" spans="1:44" x14ac:dyDescent="0.2">
      <c r="A677" s="18" t="s">
        <v>10453</v>
      </c>
      <c r="B677" s="18">
        <v>23698163</v>
      </c>
      <c r="C677" s="18" t="s">
        <v>7421</v>
      </c>
      <c r="D677" s="18"/>
      <c r="E677" s="19">
        <v>41</v>
      </c>
      <c r="F677" s="18"/>
      <c r="G677" s="18" t="s">
        <v>10454</v>
      </c>
      <c r="H677" s="18" t="s">
        <v>7211</v>
      </c>
      <c r="I677" s="24">
        <v>41415</v>
      </c>
      <c r="J677" s="18" t="s">
        <v>11</v>
      </c>
      <c r="K677" s="18" t="s">
        <v>10455</v>
      </c>
      <c r="L677" s="18" t="s">
        <v>10456</v>
      </c>
      <c r="M677" s="18"/>
      <c r="N677" s="18" t="s">
        <v>10</v>
      </c>
      <c r="O677" s="18" t="s">
        <v>10</v>
      </c>
      <c r="P677" s="18" t="s">
        <v>10457</v>
      </c>
      <c r="Q677" s="18" t="s">
        <v>10458</v>
      </c>
      <c r="R677" s="18" t="s">
        <v>10459</v>
      </c>
      <c r="S677" s="1" t="s">
        <v>6243</v>
      </c>
      <c r="T677" s="1">
        <f t="shared" si="32"/>
        <v>1203</v>
      </c>
      <c r="U677" s="1">
        <f t="shared" si="33"/>
        <v>582</v>
      </c>
      <c r="V677" s="1">
        <v>582</v>
      </c>
      <c r="AH677" s="1">
        <f>SUM(AI677:AT677)</f>
        <v>621</v>
      </c>
      <c r="AI677" s="1">
        <v>621</v>
      </c>
    </row>
    <row r="678" spans="1:44" x14ac:dyDescent="0.2">
      <c r="A678" s="18" t="s">
        <v>289</v>
      </c>
      <c r="B678" s="18">
        <v>23703922</v>
      </c>
      <c r="C678" s="18" t="s">
        <v>7421</v>
      </c>
      <c r="D678" s="18"/>
      <c r="E678" s="19">
        <v>41</v>
      </c>
      <c r="F678" s="18"/>
      <c r="G678" s="18" t="s">
        <v>10029</v>
      </c>
      <c r="H678" s="18" t="s">
        <v>10030</v>
      </c>
      <c r="I678" s="24">
        <v>41418</v>
      </c>
      <c r="J678" s="18" t="s">
        <v>11</v>
      </c>
      <c r="K678" s="18" t="s">
        <v>686</v>
      </c>
      <c r="L678" s="18" t="s">
        <v>10031</v>
      </c>
      <c r="M678" s="18"/>
      <c r="N678" s="18" t="s">
        <v>10</v>
      </c>
      <c r="O678" s="18" t="s">
        <v>10</v>
      </c>
      <c r="P678" s="18" t="s">
        <v>10032</v>
      </c>
      <c r="Q678" s="18" t="s">
        <v>33</v>
      </c>
      <c r="R678" s="18" t="s">
        <v>10033</v>
      </c>
      <c r="S678" s="1" t="s">
        <v>6243</v>
      </c>
      <c r="T678" s="1">
        <f t="shared" si="32"/>
        <v>959</v>
      </c>
      <c r="U678" s="1">
        <f t="shared" si="33"/>
        <v>959</v>
      </c>
      <c r="V678" s="1">
        <f>487+472</f>
        <v>959</v>
      </c>
    </row>
    <row r="679" spans="1:44" x14ac:dyDescent="0.2">
      <c r="A679" s="18" t="s">
        <v>1515</v>
      </c>
      <c r="B679" s="18">
        <v>23704207</v>
      </c>
      <c r="C679" s="18" t="s">
        <v>7421</v>
      </c>
      <c r="D679" s="18"/>
      <c r="E679" s="19">
        <v>8</v>
      </c>
      <c r="F679" s="18"/>
      <c r="G679" s="18" t="s">
        <v>9465</v>
      </c>
      <c r="H679" s="18" t="s">
        <v>7090</v>
      </c>
      <c r="I679" s="24">
        <v>41417</v>
      </c>
      <c r="J679" s="18" t="s">
        <v>11</v>
      </c>
      <c r="K679" s="18" t="s">
        <v>662</v>
      </c>
      <c r="L679" s="18" t="s">
        <v>9466</v>
      </c>
      <c r="M679" s="18"/>
      <c r="N679" s="18" t="s">
        <v>10</v>
      </c>
      <c r="O679" s="18" t="s">
        <v>10</v>
      </c>
      <c r="P679" s="18" t="s">
        <v>9467</v>
      </c>
      <c r="Q679" s="18" t="s">
        <v>9468</v>
      </c>
      <c r="R679" s="18" t="s">
        <v>10945</v>
      </c>
      <c r="S679" s="1" t="s">
        <v>6244</v>
      </c>
      <c r="T679" s="1">
        <f t="shared" si="32"/>
        <v>1876</v>
      </c>
      <c r="U679" s="1">
        <f t="shared" si="33"/>
        <v>620</v>
      </c>
      <c r="V679" s="1">
        <v>620</v>
      </c>
      <c r="AH679" s="1">
        <f>SUM(AI679:AT679)</f>
        <v>1256</v>
      </c>
      <c r="AK679" s="1">
        <v>1256</v>
      </c>
    </row>
    <row r="680" spans="1:44" x14ac:dyDescent="0.2">
      <c r="A680" s="18" t="s">
        <v>10139</v>
      </c>
      <c r="B680" s="18">
        <v>23704328</v>
      </c>
      <c r="C680" s="18" t="s">
        <v>7421</v>
      </c>
      <c r="D680" s="18"/>
      <c r="E680" s="19">
        <v>314</v>
      </c>
      <c r="F680" s="18"/>
      <c r="G680" s="18" t="s">
        <v>10140</v>
      </c>
      <c r="H680" s="18" t="s">
        <v>6915</v>
      </c>
      <c r="I680" s="24">
        <v>41417</v>
      </c>
      <c r="J680" s="18" t="s">
        <v>11</v>
      </c>
      <c r="K680" s="18" t="s">
        <v>103</v>
      </c>
      <c r="L680" s="18" t="s">
        <v>10141</v>
      </c>
      <c r="M680" s="18"/>
      <c r="N680" s="18" t="s">
        <v>10</v>
      </c>
      <c r="O680" s="18" t="s">
        <v>10</v>
      </c>
      <c r="P680" s="18" t="s">
        <v>10142</v>
      </c>
      <c r="Q680" s="18" t="s">
        <v>33</v>
      </c>
      <c r="R680" s="18" t="s">
        <v>10143</v>
      </c>
      <c r="S680" s="1" t="s">
        <v>6243</v>
      </c>
      <c r="T680" s="1">
        <f t="shared" si="32"/>
        <v>11513</v>
      </c>
      <c r="U680" s="1">
        <f t="shared" si="33"/>
        <v>11513</v>
      </c>
      <c r="V680" s="1">
        <v>11513</v>
      </c>
    </row>
    <row r="681" spans="1:44" x14ac:dyDescent="0.2">
      <c r="A681" s="18" t="s">
        <v>7750</v>
      </c>
      <c r="B681" s="18">
        <v>23705025</v>
      </c>
      <c r="C681" s="18" t="s">
        <v>7421</v>
      </c>
      <c r="D681" s="18"/>
      <c r="E681" s="19">
        <v>12</v>
      </c>
      <c r="F681" s="18"/>
      <c r="G681" s="18" t="s">
        <v>7751</v>
      </c>
      <c r="H681" s="18" t="s">
        <v>7202</v>
      </c>
      <c r="I681" s="24">
        <v>41415</v>
      </c>
      <c r="J681" s="18" t="s">
        <v>10</v>
      </c>
      <c r="K681" s="18" t="s">
        <v>181</v>
      </c>
      <c r="L681" s="18" t="s">
        <v>7752</v>
      </c>
      <c r="M681" s="18"/>
      <c r="N681" s="18" t="s">
        <v>10</v>
      </c>
      <c r="O681" s="18" t="s">
        <v>10</v>
      </c>
      <c r="P681" s="18" t="s">
        <v>7753</v>
      </c>
      <c r="Q681" s="18" t="s">
        <v>7754</v>
      </c>
      <c r="R681" s="18" t="s">
        <v>7755</v>
      </c>
      <c r="S681" s="1" t="s">
        <v>6243</v>
      </c>
      <c r="T681" s="1">
        <f t="shared" si="32"/>
        <v>660</v>
      </c>
      <c r="U681" s="1">
        <f t="shared" si="33"/>
        <v>353</v>
      </c>
      <c r="V681" s="1">
        <v>353</v>
      </c>
      <c r="AH681" s="1">
        <f>SUM(AI681:AT681)</f>
        <v>307</v>
      </c>
      <c r="AI681" s="1">
        <v>307</v>
      </c>
    </row>
    <row r="682" spans="1:44" x14ac:dyDescent="0.2">
      <c r="A682" s="18" t="s">
        <v>2224</v>
      </c>
      <c r="B682" s="18">
        <v>23706709</v>
      </c>
      <c r="C682" s="18" t="s">
        <v>7421</v>
      </c>
      <c r="D682" s="18"/>
      <c r="E682" s="19">
        <v>44</v>
      </c>
      <c r="F682" s="18"/>
      <c r="G682" s="18" t="s">
        <v>7838</v>
      </c>
      <c r="H682" s="18" t="s">
        <v>7139</v>
      </c>
      <c r="I682" s="24">
        <v>41418</v>
      </c>
      <c r="J682" s="18" t="s">
        <v>10</v>
      </c>
      <c r="K682" s="18" t="s">
        <v>7839</v>
      </c>
      <c r="L682" s="18" t="s">
        <v>7840</v>
      </c>
      <c r="M682" s="18"/>
      <c r="N682" s="18" t="s">
        <v>10</v>
      </c>
      <c r="O682" s="18" t="s">
        <v>10</v>
      </c>
      <c r="P682" s="18" t="s">
        <v>7841</v>
      </c>
      <c r="Q682" s="18" t="s">
        <v>33</v>
      </c>
      <c r="R682" s="18" t="s">
        <v>7842</v>
      </c>
      <c r="S682" s="1" t="s">
        <v>6244</v>
      </c>
      <c r="T682" s="1">
        <f t="shared" si="32"/>
        <v>701</v>
      </c>
      <c r="U682" s="1">
        <f t="shared" si="33"/>
        <v>701</v>
      </c>
      <c r="V682" s="1">
        <f>328+61</f>
        <v>389</v>
      </c>
      <c r="W682" s="1">
        <v>268</v>
      </c>
      <c r="X682" s="1">
        <v>35</v>
      </c>
      <c r="AE682" s="1">
        <v>9</v>
      </c>
    </row>
    <row r="683" spans="1:44" x14ac:dyDescent="0.2">
      <c r="A683" s="18" t="s">
        <v>2181</v>
      </c>
      <c r="B683" s="18">
        <v>23708190</v>
      </c>
      <c r="C683" s="18" t="s">
        <v>7421</v>
      </c>
      <c r="D683" s="18"/>
      <c r="E683" s="19">
        <v>63</v>
      </c>
      <c r="F683" s="18"/>
      <c r="G683" s="18" t="s">
        <v>8465</v>
      </c>
      <c r="H683" s="18" t="s">
        <v>8466</v>
      </c>
      <c r="I683" s="24">
        <v>41420</v>
      </c>
      <c r="J683" s="18" t="s">
        <v>11</v>
      </c>
      <c r="K683" s="18" t="s">
        <v>28</v>
      </c>
      <c r="L683" s="18" t="s">
        <v>8467</v>
      </c>
      <c r="M683" s="18"/>
      <c r="N683" s="18" t="s">
        <v>10</v>
      </c>
      <c r="O683" s="18" t="s">
        <v>10</v>
      </c>
      <c r="P683" s="18" t="s">
        <v>8468</v>
      </c>
      <c r="Q683" s="18" t="s">
        <v>8469</v>
      </c>
      <c r="R683" s="18" t="s">
        <v>8470</v>
      </c>
      <c r="S683" s="1" t="s">
        <v>6242</v>
      </c>
      <c r="T683" s="1">
        <f t="shared" si="32"/>
        <v>8217</v>
      </c>
      <c r="U683" s="1">
        <f t="shared" si="33"/>
        <v>2191</v>
      </c>
      <c r="X683" s="1">
        <f>945+1246</f>
        <v>2191</v>
      </c>
      <c r="AH683" s="1">
        <f>SUM(AI683:AT683)</f>
        <v>6026</v>
      </c>
      <c r="AK683" s="1">
        <f>2160+3866</f>
        <v>6026</v>
      </c>
    </row>
    <row r="684" spans="1:44" x14ac:dyDescent="0.2">
      <c r="A684" s="18" t="s">
        <v>2664</v>
      </c>
      <c r="B684" s="18">
        <v>23708191</v>
      </c>
      <c r="C684" s="18" t="s">
        <v>7421</v>
      </c>
      <c r="D684" s="18"/>
      <c r="E684" s="19">
        <v>32</v>
      </c>
      <c r="F684" s="18"/>
      <c r="G684" s="18" t="s">
        <v>8471</v>
      </c>
      <c r="H684" s="18" t="s">
        <v>8466</v>
      </c>
      <c r="I684" s="24">
        <v>41420</v>
      </c>
      <c r="J684" s="18" t="s">
        <v>11</v>
      </c>
      <c r="K684" s="18" t="s">
        <v>28</v>
      </c>
      <c r="L684" s="18" t="s">
        <v>8472</v>
      </c>
      <c r="M684" s="18"/>
      <c r="N684" s="18" t="s">
        <v>10</v>
      </c>
      <c r="O684" s="18" t="s">
        <v>10</v>
      </c>
      <c r="P684" s="18" t="s">
        <v>8473</v>
      </c>
      <c r="Q684" s="18" t="s">
        <v>8474</v>
      </c>
      <c r="R684" s="18" t="s">
        <v>8475</v>
      </c>
      <c r="S684" s="1" t="s">
        <v>6243</v>
      </c>
      <c r="T684" s="1">
        <f t="shared" si="32"/>
        <v>10124</v>
      </c>
      <c r="U684" s="1">
        <f t="shared" si="33"/>
        <v>6978</v>
      </c>
      <c r="V684" s="1">
        <f>1479+340+5159</f>
        <v>6978</v>
      </c>
      <c r="AH684" s="1">
        <f>SUM(AI684:AT684)</f>
        <v>3146</v>
      </c>
      <c r="AI684" s="1">
        <f>2520+209+417</f>
        <v>3146</v>
      </c>
    </row>
    <row r="685" spans="1:44" x14ac:dyDescent="0.2">
      <c r="A685" s="18" t="s">
        <v>7458</v>
      </c>
      <c r="B685" s="18">
        <v>23712748</v>
      </c>
      <c r="C685" s="18" t="s">
        <v>7421</v>
      </c>
      <c r="D685" s="18"/>
      <c r="E685" s="19">
        <v>5</v>
      </c>
      <c r="F685" s="18"/>
      <c r="G685" s="18" t="s">
        <v>591</v>
      </c>
      <c r="H685" s="18" t="s">
        <v>7127</v>
      </c>
      <c r="I685" s="24">
        <v>41422</v>
      </c>
      <c r="J685" s="18" t="s">
        <v>10</v>
      </c>
      <c r="K685" s="18" t="s">
        <v>560</v>
      </c>
      <c r="L685" s="18" t="s">
        <v>7459</v>
      </c>
      <c r="M685" s="18"/>
      <c r="N685" s="18" t="s">
        <v>10</v>
      </c>
      <c r="O685" s="18" t="s">
        <v>10</v>
      </c>
      <c r="P685" s="18" t="s">
        <v>10918</v>
      </c>
      <c r="Q685" s="18" t="s">
        <v>33</v>
      </c>
      <c r="R685" s="18" t="s">
        <v>10919</v>
      </c>
      <c r="S685" s="1" t="s">
        <v>6243</v>
      </c>
      <c r="T685" s="1">
        <f t="shared" si="32"/>
        <v>1795</v>
      </c>
      <c r="U685" s="1">
        <f t="shared" si="33"/>
        <v>1795</v>
      </c>
      <c r="V685" s="1">
        <v>1795</v>
      </c>
    </row>
    <row r="686" spans="1:44" x14ac:dyDescent="0.2">
      <c r="A686" s="18" t="s">
        <v>9538</v>
      </c>
      <c r="B686" s="18">
        <v>23717212</v>
      </c>
      <c r="C686" s="18" t="s">
        <v>7421</v>
      </c>
      <c r="D686" s="18"/>
      <c r="E686" s="19">
        <v>39</v>
      </c>
      <c r="F686" s="18"/>
      <c r="G686" s="18" t="s">
        <v>903</v>
      </c>
      <c r="H686" s="18" t="s">
        <v>904</v>
      </c>
      <c r="I686" s="24">
        <v>41417</v>
      </c>
      <c r="J686" s="18" t="s">
        <v>11</v>
      </c>
      <c r="K686" s="18" t="s">
        <v>65</v>
      </c>
      <c r="L686" s="18" t="s">
        <v>9539</v>
      </c>
      <c r="M686" s="18"/>
      <c r="N686" s="18" t="s">
        <v>10</v>
      </c>
      <c r="O686" s="18" t="s">
        <v>10</v>
      </c>
      <c r="P686" s="18" t="s">
        <v>9540</v>
      </c>
      <c r="Q686" s="18" t="s">
        <v>33</v>
      </c>
      <c r="R686" s="18" t="s">
        <v>9541</v>
      </c>
      <c r="S686" s="1" t="s">
        <v>6440</v>
      </c>
      <c r="T686" s="1">
        <f t="shared" si="32"/>
        <v>12316</v>
      </c>
      <c r="U686" s="1">
        <f t="shared" si="33"/>
        <v>12316</v>
      </c>
      <c r="W686" s="1">
        <f>5425+6891</f>
        <v>12316</v>
      </c>
    </row>
    <row r="687" spans="1:44" x14ac:dyDescent="0.2">
      <c r="A687" s="18" t="s">
        <v>1889</v>
      </c>
      <c r="B687" s="18">
        <v>23719583</v>
      </c>
      <c r="C687" s="18" t="s">
        <v>7421</v>
      </c>
      <c r="D687" s="18"/>
      <c r="E687" s="19">
        <v>21</v>
      </c>
      <c r="F687" s="18"/>
      <c r="G687" s="18" t="s">
        <v>9334</v>
      </c>
      <c r="H687" s="18" t="s">
        <v>9335</v>
      </c>
      <c r="I687" s="24">
        <v>41420</v>
      </c>
      <c r="J687" s="18" t="s">
        <v>11</v>
      </c>
      <c r="K687" s="18" t="s">
        <v>9336</v>
      </c>
      <c r="L687" s="18" t="s">
        <v>9337</v>
      </c>
      <c r="M687" s="18"/>
      <c r="N687" s="18" t="s">
        <v>11</v>
      </c>
      <c r="O687" s="18" t="s">
        <v>11</v>
      </c>
      <c r="P687" s="18" t="s">
        <v>9338</v>
      </c>
      <c r="Q687" s="18" t="s">
        <v>9339</v>
      </c>
      <c r="R687" s="18" t="s">
        <v>8760</v>
      </c>
      <c r="S687" s="1" t="s">
        <v>6244</v>
      </c>
      <c r="T687" s="1">
        <f t="shared" si="32"/>
        <v>1098</v>
      </c>
      <c r="U687" s="1">
        <f t="shared" si="33"/>
        <v>320</v>
      </c>
      <c r="AD687" s="1">
        <f>79+241</f>
        <v>320</v>
      </c>
      <c r="AH687" s="1">
        <f>SUM(AI687:AT687)</f>
        <v>778</v>
      </c>
      <c r="AQ687" s="1">
        <f>107+671</f>
        <v>778</v>
      </c>
    </row>
    <row r="688" spans="1:44" x14ac:dyDescent="0.2">
      <c r="A688" s="18" t="s">
        <v>8476</v>
      </c>
      <c r="B688" s="18">
        <v>23720494</v>
      </c>
      <c r="C688" s="18" t="s">
        <v>7421</v>
      </c>
      <c r="D688" s="18"/>
      <c r="E688" s="19">
        <v>73</v>
      </c>
      <c r="F688" s="18"/>
      <c r="G688" s="18" t="s">
        <v>8477</v>
      </c>
      <c r="H688" s="18" t="s">
        <v>7219</v>
      </c>
      <c r="I688" s="24">
        <v>41423</v>
      </c>
      <c r="J688" s="18" t="s">
        <v>11</v>
      </c>
      <c r="K688" s="18" t="s">
        <v>103</v>
      </c>
      <c r="L688" s="18" t="s">
        <v>8478</v>
      </c>
      <c r="M688" s="18"/>
      <c r="N688" s="18" t="s">
        <v>10</v>
      </c>
      <c r="O688" s="18" t="s">
        <v>10</v>
      </c>
      <c r="P688" s="18" t="s">
        <v>8479</v>
      </c>
      <c r="Q688" s="18" t="s">
        <v>33</v>
      </c>
      <c r="R688" s="18" t="s">
        <v>8480</v>
      </c>
      <c r="S688" s="1" t="s">
        <v>6243</v>
      </c>
      <c r="T688" s="1">
        <f t="shared" si="32"/>
        <v>2603</v>
      </c>
      <c r="U688" s="1">
        <f t="shared" si="33"/>
        <v>2603</v>
      </c>
      <c r="V688" s="1">
        <v>2603</v>
      </c>
    </row>
    <row r="689" spans="1:44" x14ac:dyDescent="0.2">
      <c r="A689" s="18" t="s">
        <v>8720</v>
      </c>
      <c r="B689" s="18">
        <v>23722424</v>
      </c>
      <c r="C689" s="18" t="s">
        <v>7421</v>
      </c>
      <c r="D689" s="18"/>
      <c r="E689" s="19">
        <v>358337</v>
      </c>
      <c r="F689" s="18"/>
      <c r="G689" s="18" t="s">
        <v>2496</v>
      </c>
      <c r="H689" s="18" t="s">
        <v>2546</v>
      </c>
      <c r="I689" s="24">
        <v>41424</v>
      </c>
      <c r="J689" s="18" t="s">
        <v>11</v>
      </c>
      <c r="K689" s="18" t="s">
        <v>25</v>
      </c>
      <c r="L689" s="18" t="s">
        <v>8721</v>
      </c>
      <c r="M689" s="18"/>
      <c r="N689" s="18" t="s">
        <v>10</v>
      </c>
      <c r="O689" s="18" t="s">
        <v>10</v>
      </c>
      <c r="P689" s="18" t="s">
        <v>8722</v>
      </c>
      <c r="Q689" s="18" t="s">
        <v>8723</v>
      </c>
      <c r="R689" s="18" t="s">
        <v>8724</v>
      </c>
      <c r="S689" s="1" t="s">
        <v>6243</v>
      </c>
      <c r="T689" s="1">
        <f t="shared" si="32"/>
        <v>126559</v>
      </c>
      <c r="U689" s="1">
        <f t="shared" si="33"/>
        <v>101069</v>
      </c>
      <c r="V689" s="1">
        <v>101069</v>
      </c>
      <c r="AH689" s="1">
        <f>SUM(AI689:AT689)</f>
        <v>25490</v>
      </c>
      <c r="AI689" s="1">
        <v>25490</v>
      </c>
    </row>
    <row r="690" spans="1:44" x14ac:dyDescent="0.2">
      <c r="A690" s="18" t="s">
        <v>8644</v>
      </c>
      <c r="B690" s="18">
        <v>23725790</v>
      </c>
      <c r="C690" s="18" t="s">
        <v>7421</v>
      </c>
      <c r="D690" s="18"/>
      <c r="E690" s="19">
        <v>29</v>
      </c>
      <c r="F690" s="18"/>
      <c r="G690" s="18" t="s">
        <v>8645</v>
      </c>
      <c r="H690" s="18" t="s">
        <v>8646</v>
      </c>
      <c r="I690" s="24">
        <v>41428</v>
      </c>
      <c r="J690" s="18" t="s">
        <v>11</v>
      </c>
      <c r="K690" s="18" t="s">
        <v>1408</v>
      </c>
      <c r="L690" s="18" t="s">
        <v>8647</v>
      </c>
      <c r="M690" s="18"/>
      <c r="N690" s="18" t="s">
        <v>10</v>
      </c>
      <c r="O690" s="18" t="s">
        <v>10</v>
      </c>
      <c r="P690" s="18" t="s">
        <v>8648</v>
      </c>
      <c r="Q690" s="18" t="s">
        <v>33</v>
      </c>
      <c r="R690" s="18" t="s">
        <v>8649</v>
      </c>
      <c r="S690" s="1" t="s">
        <v>6243</v>
      </c>
      <c r="T690" s="1">
        <f t="shared" si="32"/>
        <v>1024</v>
      </c>
      <c r="U690" s="1">
        <f t="shared" si="33"/>
        <v>1024</v>
      </c>
      <c r="V690" s="1">
        <v>1024</v>
      </c>
    </row>
    <row r="691" spans="1:44" x14ac:dyDescent="0.2">
      <c r="A691" s="18" t="s">
        <v>9374</v>
      </c>
      <c r="B691" s="18">
        <v>23726366</v>
      </c>
      <c r="C691" s="18" t="s">
        <v>7421</v>
      </c>
      <c r="D691" s="18"/>
      <c r="E691" s="19">
        <v>31</v>
      </c>
      <c r="F691" s="18"/>
      <c r="G691" s="18" t="s">
        <v>242</v>
      </c>
      <c r="H691" s="18" t="s">
        <v>7160</v>
      </c>
      <c r="I691" s="24">
        <v>41424</v>
      </c>
      <c r="J691" s="18" t="s">
        <v>11</v>
      </c>
      <c r="K691" s="18" t="s">
        <v>16</v>
      </c>
      <c r="L691" s="18" t="s">
        <v>9375</v>
      </c>
      <c r="M691" s="18"/>
      <c r="N691" s="18" t="s">
        <v>10</v>
      </c>
      <c r="O691" s="18" t="s">
        <v>10</v>
      </c>
      <c r="P691" s="18" t="s">
        <v>9376</v>
      </c>
      <c r="Q691" s="18" t="s">
        <v>9377</v>
      </c>
      <c r="R691" s="18" t="s">
        <v>10946</v>
      </c>
      <c r="S691" s="1" t="s">
        <v>6244</v>
      </c>
      <c r="T691" s="1">
        <f t="shared" si="32"/>
        <v>18561</v>
      </c>
      <c r="U691" s="1">
        <f t="shared" si="33"/>
        <v>11423</v>
      </c>
      <c r="W691" s="1">
        <v>7917</v>
      </c>
      <c r="Z691" s="1">
        <v>3506</v>
      </c>
      <c r="AH691" s="1">
        <f>SUM(AI691:AT691)</f>
        <v>7138</v>
      </c>
      <c r="AJ691" s="1">
        <v>7138</v>
      </c>
    </row>
    <row r="692" spans="1:44" x14ac:dyDescent="0.2">
      <c r="A692" s="18" t="s">
        <v>9583</v>
      </c>
      <c r="B692" s="18">
        <v>23726511</v>
      </c>
      <c r="C692" s="18" t="s">
        <v>7421</v>
      </c>
      <c r="D692" s="18"/>
      <c r="E692" s="19">
        <v>28</v>
      </c>
      <c r="F692" s="18"/>
      <c r="G692" s="18" t="s">
        <v>10072</v>
      </c>
      <c r="H692" s="18" t="s">
        <v>179</v>
      </c>
      <c r="I692" s="24">
        <v>41422</v>
      </c>
      <c r="J692" s="18" t="s">
        <v>11</v>
      </c>
      <c r="K692" s="18" t="s">
        <v>1128</v>
      </c>
      <c r="L692" s="18" t="s">
        <v>10073</v>
      </c>
      <c r="M692" s="18"/>
      <c r="N692" s="18" t="s">
        <v>10</v>
      </c>
      <c r="O692" s="18" t="s">
        <v>10</v>
      </c>
      <c r="P692" s="18" t="s">
        <v>10074</v>
      </c>
      <c r="Q692" s="18" t="s">
        <v>10075</v>
      </c>
      <c r="R692" s="18" t="s">
        <v>10076</v>
      </c>
      <c r="S692" s="1" t="s">
        <v>6244</v>
      </c>
      <c r="T692" s="1">
        <f t="shared" ref="T692:T755" si="34">SUM(U692,AH692)</f>
        <v>7861</v>
      </c>
      <c r="U692" s="1">
        <f t="shared" ref="U692:U755" si="35">SUM(V692:AG692)</f>
        <v>5218</v>
      </c>
      <c r="V692" s="1">
        <f>300+1538</f>
        <v>1838</v>
      </c>
      <c r="W692" s="1">
        <f>2936+444</f>
        <v>3380</v>
      </c>
      <c r="AH692" s="1">
        <f>SUM(AI692:AT692)</f>
        <v>2643</v>
      </c>
      <c r="AI692" s="1">
        <f>207+1692</f>
        <v>1899</v>
      </c>
      <c r="AJ692" s="1">
        <f>655+89</f>
        <v>744</v>
      </c>
    </row>
    <row r="693" spans="1:44" x14ac:dyDescent="0.2">
      <c r="A693" s="18" t="s">
        <v>123</v>
      </c>
      <c r="B693" s="18">
        <v>23726668</v>
      </c>
      <c r="C693" s="18" t="s">
        <v>7421</v>
      </c>
      <c r="D693" s="18"/>
      <c r="E693" s="19">
        <v>25</v>
      </c>
      <c r="F693" s="18"/>
      <c r="G693" s="18" t="s">
        <v>10264</v>
      </c>
      <c r="H693" s="18" t="s">
        <v>1056</v>
      </c>
      <c r="I693" s="24">
        <v>41424</v>
      </c>
      <c r="J693" s="18" t="s">
        <v>11</v>
      </c>
      <c r="K693" s="18" t="s">
        <v>1339</v>
      </c>
      <c r="L693" s="18" t="s">
        <v>10265</v>
      </c>
      <c r="M693" s="18"/>
      <c r="N693" s="18" t="s">
        <v>10</v>
      </c>
      <c r="O693" s="18" t="s">
        <v>10</v>
      </c>
      <c r="P693" s="18" t="s">
        <v>10266</v>
      </c>
      <c r="Q693" s="18" t="s">
        <v>10267</v>
      </c>
      <c r="R693" s="18" t="s">
        <v>10268</v>
      </c>
      <c r="S693" s="1" t="s">
        <v>6244</v>
      </c>
      <c r="T693" s="1">
        <f t="shared" si="34"/>
        <v>1702</v>
      </c>
      <c r="U693" s="1">
        <f t="shared" si="35"/>
        <v>1116</v>
      </c>
      <c r="V693" s="1">
        <v>774</v>
      </c>
      <c r="W693" s="1">
        <v>145</v>
      </c>
      <c r="X693" s="1">
        <v>16</v>
      </c>
      <c r="Z693" s="1">
        <v>122</v>
      </c>
      <c r="AD693" s="1">
        <v>59</v>
      </c>
      <c r="AH693" s="1">
        <f>SUM(AI693:AT693)</f>
        <v>586</v>
      </c>
      <c r="AR693" s="1">
        <f>395+191</f>
        <v>586</v>
      </c>
    </row>
    <row r="694" spans="1:44" x14ac:dyDescent="0.2">
      <c r="A694" s="18" t="s">
        <v>8498</v>
      </c>
      <c r="B694" s="18">
        <v>23727086</v>
      </c>
      <c r="C694" s="18" t="s">
        <v>7421</v>
      </c>
      <c r="D694" s="18"/>
      <c r="E694" s="19">
        <v>272</v>
      </c>
      <c r="F694" s="18"/>
      <c r="G694" s="18" t="s">
        <v>6617</v>
      </c>
      <c r="H694" s="18" t="s">
        <v>7163</v>
      </c>
      <c r="I694" s="24">
        <v>41424</v>
      </c>
      <c r="J694" s="18" t="s">
        <v>10</v>
      </c>
      <c r="K694" s="18" t="s">
        <v>8499</v>
      </c>
      <c r="L694" s="18" t="s">
        <v>8500</v>
      </c>
      <c r="M694" s="18"/>
      <c r="N694" s="18" t="s">
        <v>10</v>
      </c>
      <c r="O694" s="18" t="s">
        <v>10</v>
      </c>
      <c r="P694" s="18" t="s">
        <v>8501</v>
      </c>
      <c r="Q694" s="18" t="s">
        <v>8502</v>
      </c>
      <c r="R694" s="18" t="s">
        <v>8503</v>
      </c>
      <c r="S694" s="1" t="s">
        <v>6244</v>
      </c>
      <c r="T694" s="1">
        <f t="shared" si="34"/>
        <v>4853</v>
      </c>
      <c r="U694" s="1">
        <f t="shared" si="35"/>
        <v>1509</v>
      </c>
      <c r="V694" s="1">
        <v>856</v>
      </c>
      <c r="W694" s="1">
        <v>653</v>
      </c>
      <c r="AH694" s="1">
        <f>SUM(AI694:AT694)</f>
        <v>3344</v>
      </c>
      <c r="AI694" s="1">
        <v>2842</v>
      </c>
      <c r="AJ694" s="1">
        <v>502</v>
      </c>
    </row>
    <row r="695" spans="1:44" x14ac:dyDescent="0.2">
      <c r="A695" s="1" t="s">
        <v>8</v>
      </c>
      <c r="B695" s="1">
        <v>12426569</v>
      </c>
      <c r="C695" s="1" t="s">
        <v>7420</v>
      </c>
      <c r="E695" s="21">
        <v>5</v>
      </c>
      <c r="G695" s="1" t="s">
        <v>9</v>
      </c>
      <c r="H695" s="1" t="s">
        <v>7192</v>
      </c>
      <c r="I695" s="5">
        <v>37571</v>
      </c>
      <c r="J695" s="18" t="s">
        <v>10</v>
      </c>
      <c r="K695" s="1" t="s">
        <v>28</v>
      </c>
      <c r="L695" s="1" t="s">
        <v>2779</v>
      </c>
      <c r="M695" s="5"/>
      <c r="N695" s="5" t="s">
        <v>10</v>
      </c>
      <c r="O695" s="5" t="s">
        <v>10</v>
      </c>
      <c r="P695" s="1" t="s">
        <v>3045</v>
      </c>
      <c r="Q695" s="1" t="s">
        <v>4120</v>
      </c>
      <c r="R695" s="2" t="s">
        <v>5942</v>
      </c>
      <c r="S695" s="1" t="s">
        <v>6242</v>
      </c>
      <c r="T695" s="1">
        <v>2891</v>
      </c>
      <c r="U695" s="1">
        <v>752</v>
      </c>
      <c r="X695" s="1">
        <v>752</v>
      </c>
      <c r="AH695" s="1">
        <v>2139</v>
      </c>
      <c r="AK695" s="1">
        <v>2139</v>
      </c>
    </row>
    <row r="696" spans="1:44" x14ac:dyDescent="0.2">
      <c r="A696" s="1" t="s">
        <v>12</v>
      </c>
      <c r="B696" s="1">
        <v>12740691</v>
      </c>
      <c r="C696" s="1" t="s">
        <v>7420</v>
      </c>
      <c r="E696" s="21">
        <v>6</v>
      </c>
      <c r="G696" s="1" t="s">
        <v>6877</v>
      </c>
      <c r="H696" s="1" t="s">
        <v>13</v>
      </c>
      <c r="I696" s="5">
        <v>37751</v>
      </c>
      <c r="J696" s="18" t="s">
        <v>10</v>
      </c>
      <c r="K696" s="1" t="s">
        <v>689</v>
      </c>
      <c r="L696" s="1" t="s">
        <v>2780</v>
      </c>
      <c r="M696" s="5"/>
      <c r="N696" s="5" t="s">
        <v>10</v>
      </c>
      <c r="O696" s="5" t="s">
        <v>10</v>
      </c>
      <c r="P696" s="1" t="s">
        <v>3046</v>
      </c>
      <c r="Q696" s="1" t="s">
        <v>33</v>
      </c>
      <c r="R696" s="2" t="s">
        <v>5014</v>
      </c>
      <c r="S696" s="1" t="s">
        <v>6242</v>
      </c>
      <c r="T696" s="1">
        <v>854</v>
      </c>
      <c r="U696" s="1">
        <v>854</v>
      </c>
      <c r="X696" s="1">
        <v>854</v>
      </c>
    </row>
    <row r="697" spans="1:44" x14ac:dyDescent="0.2">
      <c r="A697" s="1" t="s">
        <v>1088</v>
      </c>
      <c r="B697" s="1">
        <v>14578305</v>
      </c>
      <c r="C697" s="1" t="s">
        <v>7420</v>
      </c>
      <c r="D697" s="1" t="s">
        <v>7411</v>
      </c>
      <c r="E697" s="21">
        <v>1</v>
      </c>
      <c r="G697" s="1" t="s">
        <v>61</v>
      </c>
      <c r="H697" s="1" t="s">
        <v>7396</v>
      </c>
      <c r="I697" s="5">
        <v>37926</v>
      </c>
      <c r="J697" s="18" t="s">
        <v>10</v>
      </c>
      <c r="K697" s="1" t="s">
        <v>90</v>
      </c>
      <c r="L697" s="1" t="s">
        <v>2781</v>
      </c>
      <c r="M697" s="5"/>
      <c r="N697" s="5" t="s">
        <v>10</v>
      </c>
      <c r="O697" s="5" t="s">
        <v>10</v>
      </c>
      <c r="P697" s="1" t="s">
        <v>3210</v>
      </c>
      <c r="Q697" s="1" t="s">
        <v>3212</v>
      </c>
      <c r="R697" s="7" t="s">
        <v>3213</v>
      </c>
      <c r="S697" s="1" t="s">
        <v>6242</v>
      </c>
      <c r="T697" s="1">
        <v>1058</v>
      </c>
      <c r="U697" s="1">
        <v>188</v>
      </c>
      <c r="X697" s="1">
        <v>188</v>
      </c>
      <c r="AH697" s="1">
        <v>870</v>
      </c>
      <c r="AK697" s="1">
        <v>870</v>
      </c>
    </row>
    <row r="698" spans="1:44" x14ac:dyDescent="0.2">
      <c r="A698" s="1" t="s">
        <v>1717</v>
      </c>
      <c r="B698" s="1">
        <v>14617374</v>
      </c>
      <c r="C698" s="1" t="s">
        <v>7420</v>
      </c>
      <c r="E698" s="21">
        <v>6</v>
      </c>
      <c r="G698" s="1" t="s">
        <v>6865</v>
      </c>
      <c r="H698" s="1" t="s">
        <v>7113</v>
      </c>
      <c r="I698" s="5">
        <v>37939</v>
      </c>
      <c r="J698" s="18" t="s">
        <v>10</v>
      </c>
      <c r="K698" s="1" t="s">
        <v>2782</v>
      </c>
      <c r="L698" s="1" t="s">
        <v>2783</v>
      </c>
      <c r="N698" s="1" t="s">
        <v>11</v>
      </c>
      <c r="O698" s="1" t="s">
        <v>10</v>
      </c>
      <c r="P698" s="1" t="s">
        <v>3022</v>
      </c>
      <c r="Q698" s="1" t="s">
        <v>33</v>
      </c>
      <c r="R698" s="6" t="s">
        <v>6063</v>
      </c>
      <c r="S698" s="1" t="s">
        <v>6243</v>
      </c>
      <c r="T698" s="1">
        <v>952</v>
      </c>
      <c r="U698" s="1">
        <v>952</v>
      </c>
      <c r="V698" s="1">
        <v>952</v>
      </c>
    </row>
    <row r="699" spans="1:44" x14ac:dyDescent="0.2">
      <c r="A699" s="1" t="s">
        <v>2635</v>
      </c>
      <c r="B699" s="1">
        <v>15599641</v>
      </c>
      <c r="C699" s="1" t="s">
        <v>7420</v>
      </c>
      <c r="D699" s="1" t="s">
        <v>7411</v>
      </c>
      <c r="E699" s="21">
        <v>2</v>
      </c>
      <c r="G699" s="1" t="s">
        <v>6877</v>
      </c>
      <c r="H699" s="1" t="s">
        <v>13</v>
      </c>
      <c r="I699" s="5">
        <v>38335</v>
      </c>
      <c r="J699" s="18" t="s">
        <v>10</v>
      </c>
      <c r="K699" s="1" t="s">
        <v>689</v>
      </c>
      <c r="L699" s="1" t="s">
        <v>2784</v>
      </c>
      <c r="N699" s="5" t="s">
        <v>10</v>
      </c>
      <c r="O699" s="5" t="s">
        <v>10</v>
      </c>
      <c r="P699" s="1" t="s">
        <v>3023</v>
      </c>
      <c r="Q699" s="1" t="s">
        <v>33</v>
      </c>
      <c r="R699" s="6" t="s">
        <v>6066</v>
      </c>
      <c r="S699" s="1" t="s">
        <v>6242</v>
      </c>
      <c r="T699" s="1">
        <v>1099</v>
      </c>
      <c r="U699" s="1">
        <v>1099</v>
      </c>
      <c r="X699" s="1">
        <v>1099</v>
      </c>
    </row>
    <row r="700" spans="1:44" x14ac:dyDescent="0.2">
      <c r="A700" s="1" t="s">
        <v>2322</v>
      </c>
      <c r="B700" s="1">
        <v>15604251</v>
      </c>
      <c r="C700" s="1" t="s">
        <v>7420</v>
      </c>
      <c r="E700" s="21">
        <v>4</v>
      </c>
      <c r="G700" s="1" t="s">
        <v>2323</v>
      </c>
      <c r="H700" s="1" t="s">
        <v>6693</v>
      </c>
      <c r="I700" s="5">
        <v>38337</v>
      </c>
      <c r="J700" s="18" t="s">
        <v>10</v>
      </c>
      <c r="K700" s="1" t="s">
        <v>662</v>
      </c>
      <c r="L700" s="1" t="s">
        <v>2785</v>
      </c>
      <c r="M700" s="5"/>
      <c r="N700" s="5" t="s">
        <v>11</v>
      </c>
      <c r="O700" s="5" t="s">
        <v>10</v>
      </c>
      <c r="P700" s="1" t="s">
        <v>5215</v>
      </c>
      <c r="Q700" s="1" t="s">
        <v>5216</v>
      </c>
      <c r="R700" s="2" t="s">
        <v>5979</v>
      </c>
      <c r="S700" s="1" t="s">
        <v>6243</v>
      </c>
      <c r="T700" s="1">
        <v>1258</v>
      </c>
      <c r="U700" s="1">
        <v>522</v>
      </c>
      <c r="V700" s="1">
        <v>522</v>
      </c>
      <c r="AH700" s="1">
        <v>736</v>
      </c>
      <c r="AI700" s="1">
        <v>736</v>
      </c>
    </row>
    <row r="701" spans="1:44" x14ac:dyDescent="0.2">
      <c r="A701" s="1" t="s">
        <v>2322</v>
      </c>
      <c r="B701" s="1">
        <v>15684076</v>
      </c>
      <c r="C701" s="1" t="s">
        <v>7420</v>
      </c>
      <c r="D701" s="1" t="s">
        <v>7411</v>
      </c>
      <c r="E701" s="21">
        <v>3</v>
      </c>
      <c r="G701" s="1" t="s">
        <v>119</v>
      </c>
      <c r="H701" s="1" t="s">
        <v>6675</v>
      </c>
      <c r="I701" s="5">
        <v>38383</v>
      </c>
      <c r="J701" s="18" t="s">
        <v>10</v>
      </c>
      <c r="K701" s="1" t="s">
        <v>210</v>
      </c>
      <c r="L701" s="1" t="s">
        <v>2786</v>
      </c>
      <c r="M701" s="5"/>
      <c r="N701" s="5" t="s">
        <v>11</v>
      </c>
      <c r="O701" s="5" t="s">
        <v>11</v>
      </c>
      <c r="P701" s="1" t="s">
        <v>3218</v>
      </c>
      <c r="Q701" s="1" t="s">
        <v>3219</v>
      </c>
      <c r="R701" s="6" t="s">
        <v>5938</v>
      </c>
      <c r="S701" s="1" t="s">
        <v>6243</v>
      </c>
      <c r="T701" s="1">
        <v>1221</v>
      </c>
      <c r="U701" s="1">
        <v>523</v>
      </c>
      <c r="V701" s="1">
        <v>523</v>
      </c>
      <c r="AH701" s="1">
        <v>698</v>
      </c>
      <c r="AI701" s="1">
        <v>698</v>
      </c>
    </row>
    <row r="702" spans="1:44" x14ac:dyDescent="0.2">
      <c r="A702" s="1" t="s">
        <v>2328</v>
      </c>
      <c r="B702" s="1">
        <v>15752431</v>
      </c>
      <c r="C702" s="1" t="s">
        <v>7420</v>
      </c>
      <c r="E702" s="21">
        <v>4</v>
      </c>
      <c r="G702" s="1" t="s">
        <v>413</v>
      </c>
      <c r="H702" s="1" t="s">
        <v>7231</v>
      </c>
      <c r="I702" s="5">
        <v>38418</v>
      </c>
      <c r="J702" s="18" t="s">
        <v>10</v>
      </c>
      <c r="K702" s="1" t="s">
        <v>220</v>
      </c>
      <c r="L702" s="1" t="s">
        <v>2787</v>
      </c>
      <c r="M702" s="5"/>
      <c r="N702" s="5" t="s">
        <v>10</v>
      </c>
      <c r="O702" s="5" t="s">
        <v>10</v>
      </c>
      <c r="P702" s="1" t="s">
        <v>5350</v>
      </c>
      <c r="Q702" s="1" t="s">
        <v>5351</v>
      </c>
      <c r="R702" s="2" t="s">
        <v>5979</v>
      </c>
      <c r="S702" s="1" t="s">
        <v>6243</v>
      </c>
      <c r="T702" s="1">
        <v>984</v>
      </c>
      <c r="U702" s="1">
        <v>640</v>
      </c>
      <c r="V702" s="1">
        <v>640</v>
      </c>
      <c r="AH702" s="1">
        <v>344</v>
      </c>
      <c r="AI702" s="1">
        <v>344</v>
      </c>
    </row>
    <row r="703" spans="1:44" x14ac:dyDescent="0.2">
      <c r="A703" s="1" t="s">
        <v>14</v>
      </c>
      <c r="B703" s="1">
        <v>15761122</v>
      </c>
      <c r="C703" s="1" t="s">
        <v>7420</v>
      </c>
      <c r="D703" s="1" t="s">
        <v>7411</v>
      </c>
      <c r="E703" s="21">
        <v>2</v>
      </c>
      <c r="G703" s="1" t="s">
        <v>15</v>
      </c>
      <c r="H703" s="1" t="s">
        <v>7143</v>
      </c>
      <c r="I703" s="5">
        <v>38457</v>
      </c>
      <c r="J703" s="18" t="s">
        <v>11</v>
      </c>
      <c r="K703" s="1" t="s">
        <v>25</v>
      </c>
      <c r="L703" s="1" t="s">
        <v>392</v>
      </c>
      <c r="M703" s="5"/>
      <c r="N703" s="5" t="s">
        <v>10</v>
      </c>
      <c r="O703" s="5" t="s">
        <v>10</v>
      </c>
      <c r="P703" s="1" t="s">
        <v>3464</v>
      </c>
      <c r="Q703" s="1" t="s">
        <v>33</v>
      </c>
      <c r="R703" s="2" t="s">
        <v>5923</v>
      </c>
      <c r="S703" s="1" t="s">
        <v>6243</v>
      </c>
      <c r="T703" s="1">
        <v>146</v>
      </c>
      <c r="U703" s="1">
        <v>146</v>
      </c>
      <c r="V703" s="1">
        <v>146</v>
      </c>
    </row>
    <row r="704" spans="1:44" x14ac:dyDescent="0.2">
      <c r="A704" s="1" t="s">
        <v>2331</v>
      </c>
      <c r="B704" s="1">
        <v>15793258</v>
      </c>
      <c r="C704" s="1" t="s">
        <v>7420</v>
      </c>
      <c r="E704" s="21">
        <v>10</v>
      </c>
      <c r="G704" s="1" t="s">
        <v>6876</v>
      </c>
      <c r="H704" s="1" t="s">
        <v>7390</v>
      </c>
      <c r="I704" s="5">
        <v>38443</v>
      </c>
      <c r="J704" s="18" t="s">
        <v>10</v>
      </c>
      <c r="K704" s="1" t="s">
        <v>90</v>
      </c>
      <c r="L704" s="1" t="s">
        <v>2788</v>
      </c>
      <c r="M704" s="5"/>
      <c r="N704" s="5" t="s">
        <v>10</v>
      </c>
      <c r="O704" s="5" t="s">
        <v>10</v>
      </c>
      <c r="P704" s="1" t="s">
        <v>3210</v>
      </c>
      <c r="Q704" s="1" t="s">
        <v>3211</v>
      </c>
      <c r="R704" s="6" t="s">
        <v>3056</v>
      </c>
      <c r="S704" s="1" t="s">
        <v>6242</v>
      </c>
      <c r="T704" s="1">
        <v>920</v>
      </c>
      <c r="U704" s="1">
        <v>188</v>
      </c>
      <c r="X704" s="1">
        <v>188</v>
      </c>
      <c r="AH704" s="1">
        <v>732</v>
      </c>
      <c r="AK704" s="1">
        <v>732</v>
      </c>
    </row>
    <row r="705" spans="1:44" x14ac:dyDescent="0.2">
      <c r="A705" s="1" t="s">
        <v>2633</v>
      </c>
      <c r="B705" s="1">
        <v>15940393</v>
      </c>
      <c r="C705" s="1" t="s">
        <v>7420</v>
      </c>
      <c r="E705" s="21">
        <v>5</v>
      </c>
      <c r="G705" s="1" t="s">
        <v>61</v>
      </c>
      <c r="H705" s="1" t="s">
        <v>7396</v>
      </c>
      <c r="I705" s="5">
        <v>38510</v>
      </c>
      <c r="J705" s="18" t="s">
        <v>10</v>
      </c>
      <c r="K705" s="1" t="s">
        <v>689</v>
      </c>
      <c r="L705" s="1" t="s">
        <v>2789</v>
      </c>
      <c r="N705" s="5" t="s">
        <v>10</v>
      </c>
      <c r="O705" s="5" t="s">
        <v>10</v>
      </c>
      <c r="P705" s="1" t="s">
        <v>3024</v>
      </c>
      <c r="Q705" s="1" t="s">
        <v>6070</v>
      </c>
      <c r="R705" s="6" t="s">
        <v>6065</v>
      </c>
      <c r="S705" s="1" t="s">
        <v>6244</v>
      </c>
      <c r="T705" s="1">
        <v>4209</v>
      </c>
      <c r="U705" s="1">
        <v>658</v>
      </c>
      <c r="X705" s="1">
        <v>658</v>
      </c>
      <c r="AH705" s="1">
        <v>3551</v>
      </c>
      <c r="AI705" s="1">
        <v>1139</v>
      </c>
      <c r="AK705" s="1">
        <v>2412</v>
      </c>
    </row>
    <row r="706" spans="1:44" x14ac:dyDescent="0.2">
      <c r="A706" s="1" t="s">
        <v>2326</v>
      </c>
      <c r="B706" s="1">
        <v>16109180</v>
      </c>
      <c r="C706" s="1" t="s">
        <v>7420</v>
      </c>
      <c r="E706" s="21">
        <v>7</v>
      </c>
      <c r="G706" s="1" t="s">
        <v>119</v>
      </c>
      <c r="H706" s="1" t="s">
        <v>6675</v>
      </c>
      <c r="I706" s="5">
        <v>38573</v>
      </c>
      <c r="J706" s="18" t="s">
        <v>10</v>
      </c>
      <c r="K706" s="1" t="s">
        <v>2782</v>
      </c>
      <c r="L706" s="1" t="s">
        <v>2790</v>
      </c>
      <c r="M706" s="5"/>
      <c r="N706" s="5" t="s">
        <v>11</v>
      </c>
      <c r="O706" s="5" t="s">
        <v>11</v>
      </c>
      <c r="P706" s="1" t="s">
        <v>3218</v>
      </c>
      <c r="Q706" s="1" t="s">
        <v>3219</v>
      </c>
      <c r="R706" s="6" t="s">
        <v>5938</v>
      </c>
      <c r="S706" s="1" t="s">
        <v>6243</v>
      </c>
      <c r="T706" s="1">
        <v>1221</v>
      </c>
      <c r="U706" s="1">
        <v>523</v>
      </c>
      <c r="V706" s="1">
        <v>523</v>
      </c>
      <c r="AH706" s="1">
        <v>698</v>
      </c>
      <c r="AI706" s="1">
        <v>698</v>
      </c>
    </row>
    <row r="707" spans="1:44" x14ac:dyDescent="0.2">
      <c r="A707" s="1" t="s">
        <v>2332</v>
      </c>
      <c r="B707" s="1">
        <v>16155738</v>
      </c>
      <c r="C707" s="1" t="s">
        <v>7420</v>
      </c>
      <c r="E707" s="21">
        <v>8</v>
      </c>
      <c r="G707" s="1" t="s">
        <v>6784</v>
      </c>
      <c r="H707" s="1" t="s">
        <v>7405</v>
      </c>
      <c r="I707" s="5">
        <v>38605</v>
      </c>
      <c r="J707" s="18" t="s">
        <v>10</v>
      </c>
      <c r="K707" s="1" t="s">
        <v>689</v>
      </c>
      <c r="L707" s="1" t="s">
        <v>2791</v>
      </c>
      <c r="M707" s="5"/>
      <c r="N707" s="5" t="s">
        <v>10</v>
      </c>
      <c r="O707" s="5" t="s">
        <v>10</v>
      </c>
      <c r="P707" s="1" t="s">
        <v>3214</v>
      </c>
      <c r="Q707" s="1" t="s">
        <v>33</v>
      </c>
      <c r="R707" s="7" t="s">
        <v>4264</v>
      </c>
      <c r="S707" s="1" t="s">
        <v>6242</v>
      </c>
      <c r="T707" s="1">
        <v>318</v>
      </c>
      <c r="U707" s="1">
        <v>318</v>
      </c>
      <c r="X707" s="1">
        <v>318</v>
      </c>
    </row>
    <row r="708" spans="1:44" x14ac:dyDescent="0.2">
      <c r="A708" s="1" t="s">
        <v>20</v>
      </c>
      <c r="B708" s="1">
        <v>16221758</v>
      </c>
      <c r="C708" s="1" t="s">
        <v>7420</v>
      </c>
      <c r="E708" s="21">
        <v>59</v>
      </c>
      <c r="G708" s="1" t="s">
        <v>21</v>
      </c>
      <c r="H708" s="1" t="s">
        <v>22</v>
      </c>
      <c r="I708" s="5">
        <v>38638</v>
      </c>
      <c r="J708" s="18" t="s">
        <v>10</v>
      </c>
      <c r="K708" s="1" t="s">
        <v>103</v>
      </c>
      <c r="L708" s="1" t="s">
        <v>2792</v>
      </c>
      <c r="M708" s="5"/>
      <c r="N708" s="5" t="s">
        <v>10</v>
      </c>
      <c r="O708" s="5" t="s">
        <v>10</v>
      </c>
      <c r="P708" s="1" t="s">
        <v>6648</v>
      </c>
      <c r="Q708" s="1" t="s">
        <v>3047</v>
      </c>
      <c r="R708" s="2" t="s">
        <v>5939</v>
      </c>
      <c r="S708" s="1" t="s">
        <v>6242</v>
      </c>
      <c r="T708" s="1">
        <v>1675</v>
      </c>
      <c r="U708" s="1">
        <v>846</v>
      </c>
      <c r="X708" s="1">
        <v>846</v>
      </c>
      <c r="AH708" s="1">
        <v>829</v>
      </c>
      <c r="AK708" s="1">
        <v>829</v>
      </c>
    </row>
    <row r="709" spans="1:44" x14ac:dyDescent="0.2">
      <c r="A709" s="1" t="s">
        <v>18</v>
      </c>
      <c r="B709" s="1">
        <v>16252231</v>
      </c>
      <c r="C709" s="1" t="s">
        <v>7420</v>
      </c>
      <c r="E709" s="21">
        <v>375</v>
      </c>
      <c r="G709" s="1" t="s">
        <v>19</v>
      </c>
      <c r="H709" s="1" t="s">
        <v>7195</v>
      </c>
      <c r="I709" s="5">
        <v>38604</v>
      </c>
      <c r="J709" s="18" t="s">
        <v>11</v>
      </c>
      <c r="K709" s="1" t="s">
        <v>16</v>
      </c>
      <c r="L709" s="1" t="s">
        <v>17</v>
      </c>
      <c r="M709" s="5"/>
      <c r="N709" s="5" t="s">
        <v>10</v>
      </c>
      <c r="O709" s="5" t="s">
        <v>10</v>
      </c>
      <c r="P709" s="1" t="s">
        <v>6410</v>
      </c>
      <c r="Q709" s="1" t="s">
        <v>6411</v>
      </c>
      <c r="R709" s="2" t="s">
        <v>4797</v>
      </c>
      <c r="S709" s="1" t="s">
        <v>6244</v>
      </c>
      <c r="T709" s="1">
        <v>1540</v>
      </c>
      <c r="U709" s="1">
        <v>876</v>
      </c>
      <c r="V709" s="1">
        <v>747</v>
      </c>
      <c r="X709" s="1">
        <v>1</v>
      </c>
      <c r="AE709" s="1">
        <v>128</v>
      </c>
      <c r="AH709" s="1">
        <v>664</v>
      </c>
      <c r="AI709" s="1">
        <v>546</v>
      </c>
      <c r="AK709" s="1">
        <v>1</v>
      </c>
      <c r="AR709" s="1">
        <v>117</v>
      </c>
    </row>
    <row r="710" spans="1:44" x14ac:dyDescent="0.2">
      <c r="A710" s="1" t="s">
        <v>2325</v>
      </c>
      <c r="B710" s="1">
        <v>16402134</v>
      </c>
      <c r="C710" s="1" t="s">
        <v>7420</v>
      </c>
      <c r="E710" s="21">
        <v>5</v>
      </c>
      <c r="G710" s="1" t="s">
        <v>74</v>
      </c>
      <c r="H710" s="1" t="s">
        <v>2545</v>
      </c>
      <c r="I710" s="5">
        <v>38727</v>
      </c>
      <c r="J710" s="18" t="s">
        <v>10</v>
      </c>
      <c r="K710" s="1" t="s">
        <v>71</v>
      </c>
      <c r="L710" s="1" t="s">
        <v>2793</v>
      </c>
      <c r="M710" s="5"/>
      <c r="N710" s="5" t="s">
        <v>10</v>
      </c>
      <c r="O710" s="5" t="s">
        <v>10</v>
      </c>
      <c r="P710" s="1" t="s">
        <v>5253</v>
      </c>
      <c r="Q710" s="1" t="s">
        <v>6394</v>
      </c>
      <c r="R710" s="2" t="s">
        <v>5938</v>
      </c>
      <c r="S710" s="1" t="s">
        <v>6244</v>
      </c>
      <c r="T710" s="1">
        <v>2614</v>
      </c>
      <c r="U710" s="1">
        <v>645</v>
      </c>
      <c r="V710" s="1">
        <v>645</v>
      </c>
      <c r="AH710" s="1">
        <v>1969</v>
      </c>
      <c r="AI710" s="1">
        <v>1197</v>
      </c>
      <c r="AJ710" s="1">
        <v>337</v>
      </c>
      <c r="AK710" s="1">
        <v>135</v>
      </c>
      <c r="AM710" s="1">
        <v>279</v>
      </c>
      <c r="AR710" s="1">
        <v>21</v>
      </c>
    </row>
    <row r="711" spans="1:44" x14ac:dyDescent="0.2">
      <c r="A711" s="1" t="s">
        <v>2324</v>
      </c>
      <c r="B711" s="1">
        <v>16447229</v>
      </c>
      <c r="C711" s="1" t="s">
        <v>7420</v>
      </c>
      <c r="E711" s="21">
        <v>4</v>
      </c>
      <c r="G711" s="1" t="s">
        <v>6858</v>
      </c>
      <c r="H711" s="1" t="s">
        <v>430</v>
      </c>
      <c r="I711" s="5">
        <v>38747</v>
      </c>
      <c r="J711" s="18" t="s">
        <v>10</v>
      </c>
      <c r="K711" s="1" t="s">
        <v>462</v>
      </c>
      <c r="L711" s="1" t="s">
        <v>2794</v>
      </c>
      <c r="M711" s="5"/>
      <c r="N711" s="5" t="s">
        <v>10</v>
      </c>
      <c r="O711" s="5" t="s">
        <v>10</v>
      </c>
      <c r="P711" s="1" t="s">
        <v>5255</v>
      </c>
      <c r="Q711" s="1" t="s">
        <v>5256</v>
      </c>
      <c r="R711" s="2" t="s">
        <v>5938</v>
      </c>
      <c r="S711" s="1" t="s">
        <v>6243</v>
      </c>
      <c r="T711" s="1">
        <v>2404</v>
      </c>
      <c r="U711" s="1">
        <v>670</v>
      </c>
      <c r="V711" s="1">
        <v>670</v>
      </c>
      <c r="AH711" s="1">
        <v>1734</v>
      </c>
      <c r="AI711" s="1">
        <v>1734</v>
      </c>
    </row>
    <row r="712" spans="1:44" x14ac:dyDescent="0.2">
      <c r="A712" s="1" t="s">
        <v>23</v>
      </c>
      <c r="B712" s="1">
        <v>16549820</v>
      </c>
      <c r="C712" s="1" t="s">
        <v>7420</v>
      </c>
      <c r="D712" s="1" t="s">
        <v>7411</v>
      </c>
      <c r="E712" s="21">
        <v>1</v>
      </c>
      <c r="G712" s="1" t="s">
        <v>24</v>
      </c>
      <c r="H712" s="1" t="s">
        <v>1809</v>
      </c>
      <c r="I712" s="5">
        <v>38817</v>
      </c>
      <c r="J712" s="18" t="s">
        <v>10</v>
      </c>
      <c r="K712" s="1" t="s">
        <v>1810</v>
      </c>
      <c r="L712" s="1" t="s">
        <v>2795</v>
      </c>
      <c r="M712" s="5"/>
      <c r="N712" s="5" t="s">
        <v>10</v>
      </c>
      <c r="O712" s="5" t="s">
        <v>10</v>
      </c>
      <c r="P712" s="1" t="s">
        <v>3049</v>
      </c>
      <c r="Q712" s="1" t="s">
        <v>3048</v>
      </c>
      <c r="R712" s="2" t="s">
        <v>6472</v>
      </c>
      <c r="S712" s="1" t="s">
        <v>6243</v>
      </c>
      <c r="T712" s="1">
        <v>1084</v>
      </c>
      <c r="U712" s="1">
        <v>595</v>
      </c>
      <c r="V712" s="1">
        <v>595</v>
      </c>
      <c r="AH712" s="1">
        <v>489</v>
      </c>
      <c r="AI712" s="1">
        <v>489</v>
      </c>
    </row>
    <row r="713" spans="1:44" x14ac:dyDescent="0.2">
      <c r="A713" s="1" t="s">
        <v>27</v>
      </c>
      <c r="B713" s="1">
        <v>16614226</v>
      </c>
      <c r="C713" s="1" t="s">
        <v>7420</v>
      </c>
      <c r="D713" s="1" t="s">
        <v>7411</v>
      </c>
      <c r="E713" s="21">
        <v>2</v>
      </c>
      <c r="G713" s="1" t="s">
        <v>370</v>
      </c>
      <c r="H713" s="1" t="s">
        <v>7229</v>
      </c>
      <c r="I713" s="5">
        <v>38821</v>
      </c>
      <c r="J713" s="18" t="s">
        <v>11</v>
      </c>
      <c r="K713" s="1" t="s">
        <v>25</v>
      </c>
      <c r="L713" s="1" t="s">
        <v>26</v>
      </c>
      <c r="M713" s="5"/>
      <c r="N713" s="5" t="s">
        <v>10</v>
      </c>
      <c r="O713" s="5" t="s">
        <v>10</v>
      </c>
      <c r="P713" s="1" t="s">
        <v>3540</v>
      </c>
      <c r="Q713" s="1" t="s">
        <v>6422</v>
      </c>
      <c r="R713" s="2" t="s">
        <v>5910</v>
      </c>
      <c r="S713" s="1" t="s">
        <v>6244</v>
      </c>
      <c r="T713" s="1">
        <v>12545</v>
      </c>
      <c r="U713" s="1">
        <v>694</v>
      </c>
      <c r="V713" s="1">
        <v>694</v>
      </c>
      <c r="AH713" s="1">
        <v>11851</v>
      </c>
      <c r="AI713" s="1">
        <v>7861</v>
      </c>
      <c r="AJ713" s="1">
        <v>1264</v>
      </c>
      <c r="AR713" s="1">
        <v>2726</v>
      </c>
    </row>
    <row r="714" spans="1:44" x14ac:dyDescent="0.2">
      <c r="A714" s="1" t="s">
        <v>30</v>
      </c>
      <c r="B714" s="1">
        <v>16648850</v>
      </c>
      <c r="C714" s="1" t="s">
        <v>7420</v>
      </c>
      <c r="E714" s="21">
        <v>36</v>
      </c>
      <c r="G714" s="1" t="s">
        <v>6757</v>
      </c>
      <c r="H714" s="1" t="s">
        <v>7252</v>
      </c>
      <c r="I714" s="5">
        <v>38837</v>
      </c>
      <c r="J714" s="18" t="s">
        <v>11</v>
      </c>
      <c r="K714" s="1" t="s">
        <v>28</v>
      </c>
      <c r="L714" s="1" t="s">
        <v>29</v>
      </c>
      <c r="M714" s="5"/>
      <c r="N714" s="5" t="s">
        <v>10</v>
      </c>
      <c r="O714" s="5" t="s">
        <v>10</v>
      </c>
      <c r="P714" s="1" t="s">
        <v>5490</v>
      </c>
      <c r="Q714" s="1" t="s">
        <v>5491</v>
      </c>
      <c r="R714" s="2" t="s">
        <v>4779</v>
      </c>
      <c r="S714" s="1" t="s">
        <v>6243</v>
      </c>
      <c r="T714" s="1">
        <v>8417</v>
      </c>
      <c r="U714" s="1">
        <v>200</v>
      </c>
      <c r="V714" s="1">
        <v>200</v>
      </c>
      <c r="AH714" s="1">
        <v>8217</v>
      </c>
      <c r="AI714" s="1">
        <v>8217</v>
      </c>
    </row>
    <row r="715" spans="1:44" x14ac:dyDescent="0.2">
      <c r="A715" s="1" t="s">
        <v>34</v>
      </c>
      <c r="B715" s="1">
        <v>17052657</v>
      </c>
      <c r="C715" s="1" t="s">
        <v>7420</v>
      </c>
      <c r="E715" s="21">
        <v>1197</v>
      </c>
      <c r="G715" s="1" t="s">
        <v>19</v>
      </c>
      <c r="H715" s="1" t="s">
        <v>7195</v>
      </c>
      <c r="I715" s="5">
        <v>38987</v>
      </c>
      <c r="J715" s="18" t="s">
        <v>11</v>
      </c>
      <c r="K715" s="1" t="s">
        <v>31</v>
      </c>
      <c r="L715" s="1" t="s">
        <v>32</v>
      </c>
      <c r="M715" s="5"/>
      <c r="N715" s="5" t="s">
        <v>10</v>
      </c>
      <c r="O715" s="5" t="s">
        <v>10</v>
      </c>
      <c r="P715" s="1" t="s">
        <v>3828</v>
      </c>
      <c r="Q715" s="1" t="s">
        <v>33</v>
      </c>
      <c r="R715" s="2" t="s">
        <v>5741</v>
      </c>
      <c r="S715" s="1" t="s">
        <v>6243</v>
      </c>
      <c r="T715" s="1">
        <v>537</v>
      </c>
      <c r="U715" s="1">
        <v>537</v>
      </c>
      <c r="V715" s="1">
        <v>537</v>
      </c>
    </row>
    <row r="716" spans="1:44" x14ac:dyDescent="0.2">
      <c r="A716" s="1" t="s">
        <v>37</v>
      </c>
      <c r="B716" s="1">
        <v>17053108</v>
      </c>
      <c r="C716" s="1" t="s">
        <v>7420</v>
      </c>
      <c r="D716" s="1" t="s">
        <v>7411</v>
      </c>
      <c r="E716" s="21">
        <v>2</v>
      </c>
      <c r="G716" s="1" t="s">
        <v>6980</v>
      </c>
      <c r="H716" s="1" t="s">
        <v>7143</v>
      </c>
      <c r="I716" s="5">
        <v>39009</v>
      </c>
      <c r="J716" s="18" t="s">
        <v>11</v>
      </c>
      <c r="K716" s="1" t="s">
        <v>25</v>
      </c>
      <c r="L716" s="1" t="s">
        <v>35</v>
      </c>
      <c r="M716" s="5"/>
      <c r="N716" s="5" t="s">
        <v>10</v>
      </c>
      <c r="O716" s="5" t="s">
        <v>10</v>
      </c>
      <c r="P716" s="1" t="s">
        <v>36</v>
      </c>
      <c r="Q716" s="1" t="s">
        <v>33</v>
      </c>
      <c r="R716" s="2" t="s">
        <v>5925</v>
      </c>
      <c r="S716" s="1" t="s">
        <v>6242</v>
      </c>
      <c r="T716" s="1">
        <v>226</v>
      </c>
      <c r="U716" s="1">
        <v>226</v>
      </c>
      <c r="X716" s="1">
        <v>226</v>
      </c>
    </row>
    <row r="717" spans="1:44" x14ac:dyDescent="0.2">
      <c r="A717" s="1" t="s">
        <v>39</v>
      </c>
      <c r="B717" s="1">
        <v>17053149</v>
      </c>
      <c r="C717" s="1" t="s">
        <v>7420</v>
      </c>
      <c r="D717" s="1" t="s">
        <v>7411</v>
      </c>
      <c r="E717" s="21">
        <v>2</v>
      </c>
      <c r="G717" s="1" t="s">
        <v>7098</v>
      </c>
      <c r="H717" s="1" t="s">
        <v>40</v>
      </c>
      <c r="I717" s="5">
        <v>39010</v>
      </c>
      <c r="J717" s="18" t="s">
        <v>11</v>
      </c>
      <c r="K717" s="1" t="s">
        <v>25</v>
      </c>
      <c r="L717" s="1" t="s">
        <v>38</v>
      </c>
      <c r="M717" s="5"/>
      <c r="N717" s="5" t="s">
        <v>10</v>
      </c>
      <c r="O717" s="5" t="s">
        <v>10</v>
      </c>
      <c r="P717" s="1" t="s">
        <v>3700</v>
      </c>
      <c r="Q717" s="1" t="s">
        <v>3701</v>
      </c>
      <c r="R717" s="2" t="s">
        <v>5966</v>
      </c>
      <c r="S717" s="1" t="s">
        <v>6244</v>
      </c>
      <c r="T717" s="1">
        <v>1021</v>
      </c>
      <c r="U717" s="1">
        <v>341</v>
      </c>
      <c r="V717" s="1">
        <v>341</v>
      </c>
      <c r="AH717" s="1">
        <v>680</v>
      </c>
      <c r="AI717" s="1">
        <v>662</v>
      </c>
      <c r="AJ717" s="1">
        <v>4</v>
      </c>
      <c r="AK717" s="1">
        <v>2</v>
      </c>
      <c r="AM717" s="1">
        <v>9</v>
      </c>
      <c r="AN717" s="1">
        <v>3</v>
      </c>
    </row>
    <row r="718" spans="1:44" x14ac:dyDescent="0.2">
      <c r="A718" s="1" t="s">
        <v>2632</v>
      </c>
      <c r="B718" s="1">
        <v>17066261</v>
      </c>
      <c r="C718" s="1" t="s">
        <v>7420</v>
      </c>
      <c r="E718" s="21">
        <v>6</v>
      </c>
      <c r="G718" s="1" t="s">
        <v>9</v>
      </c>
      <c r="H718" s="1" t="s">
        <v>7192</v>
      </c>
      <c r="I718" s="5">
        <v>39016</v>
      </c>
      <c r="J718" s="18" t="s">
        <v>10</v>
      </c>
      <c r="K718" s="1" t="s">
        <v>689</v>
      </c>
      <c r="L718" s="1" t="s">
        <v>2796</v>
      </c>
      <c r="N718" s="5" t="s">
        <v>10</v>
      </c>
      <c r="O718" s="5" t="s">
        <v>10</v>
      </c>
      <c r="P718" s="1" t="s">
        <v>3052</v>
      </c>
      <c r="Q718" s="1" t="s">
        <v>3055</v>
      </c>
      <c r="R718" s="2" t="s">
        <v>4264</v>
      </c>
      <c r="S718" s="1" t="s">
        <v>6242</v>
      </c>
      <c r="T718" s="1">
        <v>8223</v>
      </c>
      <c r="U718" s="1">
        <v>940</v>
      </c>
      <c r="X718" s="1">
        <v>940</v>
      </c>
      <c r="AH718" s="1">
        <v>7283</v>
      </c>
      <c r="AK718" s="1">
        <v>7283</v>
      </c>
    </row>
    <row r="719" spans="1:44" x14ac:dyDescent="0.2">
      <c r="A719" s="1" t="s">
        <v>42</v>
      </c>
      <c r="B719" s="1">
        <v>17068223</v>
      </c>
      <c r="C719" s="1" t="s">
        <v>7420</v>
      </c>
      <c r="E719" s="21">
        <v>30</v>
      </c>
      <c r="G719" s="1" t="s">
        <v>21</v>
      </c>
      <c r="H719" s="1" t="s">
        <v>22</v>
      </c>
      <c r="I719" s="5">
        <v>39052</v>
      </c>
      <c r="J719" s="18" t="s">
        <v>11</v>
      </c>
      <c r="K719" s="1" t="s">
        <v>25</v>
      </c>
      <c r="L719" s="1" t="s">
        <v>41</v>
      </c>
      <c r="M719" s="5"/>
      <c r="N719" s="5" t="s">
        <v>10</v>
      </c>
      <c r="O719" s="5" t="s">
        <v>10</v>
      </c>
      <c r="P719" s="1" t="s">
        <v>3577</v>
      </c>
      <c r="Q719" s="1" t="s">
        <v>3578</v>
      </c>
      <c r="R719" s="2" t="s">
        <v>5783</v>
      </c>
      <c r="S719" s="1" t="s">
        <v>6243</v>
      </c>
      <c r="T719" s="1">
        <v>3048</v>
      </c>
      <c r="U719" s="1">
        <v>1095</v>
      </c>
      <c r="V719" s="1">
        <v>1095</v>
      </c>
      <c r="AH719" s="1">
        <v>1953</v>
      </c>
      <c r="AI719" s="1">
        <v>1953</v>
      </c>
    </row>
    <row r="720" spans="1:44" x14ac:dyDescent="0.2">
      <c r="A720" s="1" t="s">
        <v>45</v>
      </c>
      <c r="B720" s="1">
        <v>17099884</v>
      </c>
      <c r="C720" s="1" t="s">
        <v>7420</v>
      </c>
      <c r="E720" s="21">
        <v>60</v>
      </c>
      <c r="G720" s="1" t="s">
        <v>46</v>
      </c>
      <c r="H720" s="1" t="s">
        <v>6840</v>
      </c>
      <c r="I720" s="5">
        <v>39056</v>
      </c>
      <c r="J720" s="18" t="s">
        <v>11</v>
      </c>
      <c r="K720" s="1" t="s">
        <v>43</v>
      </c>
      <c r="L720" s="1" t="s">
        <v>44</v>
      </c>
      <c r="M720" s="5"/>
      <c r="N720" s="5" t="s">
        <v>10</v>
      </c>
      <c r="O720" s="5" t="s">
        <v>10</v>
      </c>
      <c r="P720" s="1" t="s">
        <v>3461</v>
      </c>
      <c r="Q720" s="1" t="s">
        <v>33</v>
      </c>
      <c r="R720" s="2" t="s">
        <v>5883</v>
      </c>
      <c r="S720" s="1" t="s">
        <v>6244</v>
      </c>
      <c r="T720" s="1">
        <v>1660</v>
      </c>
      <c r="U720" s="1">
        <v>1660</v>
      </c>
      <c r="V720" s="1">
        <v>740</v>
      </c>
      <c r="W720" s="1">
        <v>920</v>
      </c>
    </row>
    <row r="721" spans="1:43" x14ac:dyDescent="0.2">
      <c r="A721" s="1" t="s">
        <v>306</v>
      </c>
      <c r="B721" s="1">
        <v>17158188</v>
      </c>
      <c r="C721" s="1" t="s">
        <v>7420</v>
      </c>
      <c r="E721" s="21">
        <v>295</v>
      </c>
      <c r="G721" s="1" t="s">
        <v>85</v>
      </c>
      <c r="H721" s="1" t="s">
        <v>7156</v>
      </c>
      <c r="I721" s="5">
        <v>39423</v>
      </c>
      <c r="J721" s="18" t="s">
        <v>11</v>
      </c>
      <c r="K721" s="1" t="s">
        <v>103</v>
      </c>
      <c r="L721" s="1" t="s">
        <v>305</v>
      </c>
      <c r="M721" s="5"/>
      <c r="N721" s="5" t="s">
        <v>10</v>
      </c>
      <c r="O721" s="5" t="s">
        <v>10</v>
      </c>
      <c r="P721" s="1" t="s">
        <v>3720</v>
      </c>
      <c r="Q721" s="1" t="s">
        <v>33</v>
      </c>
      <c r="R721" s="2" t="s">
        <v>5930</v>
      </c>
      <c r="S721" s="1" t="s">
        <v>6243</v>
      </c>
      <c r="T721" s="1">
        <v>1929</v>
      </c>
      <c r="U721" s="1">
        <v>1929</v>
      </c>
      <c r="V721" s="1">
        <v>1929</v>
      </c>
    </row>
    <row r="722" spans="1:43" x14ac:dyDescent="0.2">
      <c r="A722" s="1" t="s">
        <v>47</v>
      </c>
      <c r="B722" s="1">
        <v>17159887</v>
      </c>
      <c r="C722" s="1" t="s">
        <v>7420</v>
      </c>
      <c r="E722" s="21">
        <v>71</v>
      </c>
      <c r="G722" s="1" t="s">
        <v>48</v>
      </c>
      <c r="H722" s="1" t="s">
        <v>7340</v>
      </c>
      <c r="I722" s="5">
        <v>39058</v>
      </c>
      <c r="J722" s="18" t="s">
        <v>10</v>
      </c>
      <c r="K722" s="1" t="s">
        <v>1850</v>
      </c>
      <c r="L722" s="1" t="s">
        <v>2797</v>
      </c>
      <c r="M722" s="5"/>
      <c r="N722" s="5" t="s">
        <v>10</v>
      </c>
      <c r="O722" s="5" t="s">
        <v>10</v>
      </c>
      <c r="P722" s="1" t="s">
        <v>6121</v>
      </c>
      <c r="Q722" s="1" t="s">
        <v>33</v>
      </c>
      <c r="R722" s="2" t="s">
        <v>6002</v>
      </c>
      <c r="S722" s="1" t="s">
        <v>6243</v>
      </c>
      <c r="T722" s="1">
        <v>1183</v>
      </c>
      <c r="U722" s="1">
        <v>1183</v>
      </c>
      <c r="V722" s="1">
        <v>1183</v>
      </c>
    </row>
    <row r="723" spans="1:43" x14ac:dyDescent="0.2">
      <c r="A723" s="1" t="s">
        <v>2327</v>
      </c>
      <c r="B723" s="1">
        <v>17160900</v>
      </c>
      <c r="C723" s="1" t="s">
        <v>7420</v>
      </c>
      <c r="D723" s="1">
        <v>1</v>
      </c>
      <c r="E723" s="21">
        <v>0</v>
      </c>
      <c r="G723" s="1" t="s">
        <v>7101</v>
      </c>
      <c r="H723" s="1" t="s">
        <v>7125</v>
      </c>
      <c r="I723" s="5">
        <v>39057</v>
      </c>
      <c r="J723" s="18" t="s">
        <v>10</v>
      </c>
      <c r="K723" s="1" t="s">
        <v>16</v>
      </c>
      <c r="L723" s="1" t="s">
        <v>2798</v>
      </c>
      <c r="M723" s="5"/>
      <c r="N723" s="5" t="s">
        <v>10</v>
      </c>
      <c r="O723" s="5" t="s">
        <v>10</v>
      </c>
      <c r="P723" s="1" t="s">
        <v>5222</v>
      </c>
      <c r="Q723" s="1" t="s">
        <v>33</v>
      </c>
      <c r="R723" s="2" t="s">
        <v>6024</v>
      </c>
      <c r="S723" s="1" t="s">
        <v>6243</v>
      </c>
      <c r="T723" s="1">
        <v>2000</v>
      </c>
      <c r="U723" s="1">
        <v>2000</v>
      </c>
      <c r="V723" s="1">
        <v>2000</v>
      </c>
    </row>
    <row r="724" spans="1:43" x14ac:dyDescent="0.2">
      <c r="A724" s="1" t="s">
        <v>2637</v>
      </c>
      <c r="B724" s="1">
        <v>17200173</v>
      </c>
      <c r="C724" s="1" t="s">
        <v>7420</v>
      </c>
      <c r="E724" s="21">
        <v>13</v>
      </c>
      <c r="G724" s="1" t="s">
        <v>951</v>
      </c>
      <c r="H724" s="1" t="s">
        <v>7229</v>
      </c>
      <c r="I724" s="5">
        <v>39084</v>
      </c>
      <c r="J724" s="18" t="s">
        <v>10</v>
      </c>
      <c r="K724" s="1" t="s">
        <v>1316</v>
      </c>
      <c r="L724" s="1" t="s">
        <v>2799</v>
      </c>
      <c r="N724" s="5" t="s">
        <v>10</v>
      </c>
      <c r="O724" s="5" t="s">
        <v>10</v>
      </c>
      <c r="P724" s="1" t="s">
        <v>6093</v>
      </c>
      <c r="Q724" s="1" t="s">
        <v>6094</v>
      </c>
      <c r="R724" s="2" t="s">
        <v>3059</v>
      </c>
      <c r="S724" s="1" t="s">
        <v>6242</v>
      </c>
      <c r="T724" s="1">
        <v>2259</v>
      </c>
      <c r="U724" s="1">
        <v>752</v>
      </c>
      <c r="X724" s="1">
        <v>752</v>
      </c>
      <c r="AH724" s="1">
        <v>1507</v>
      </c>
      <c r="AK724" s="1">
        <v>1507</v>
      </c>
    </row>
    <row r="725" spans="1:43" x14ac:dyDescent="0.2">
      <c r="A725" s="1" t="s">
        <v>49</v>
      </c>
      <c r="B725" s="1">
        <v>17206144</v>
      </c>
      <c r="C725" s="1" t="s">
        <v>7420</v>
      </c>
      <c r="E725" s="21">
        <v>17</v>
      </c>
      <c r="G725" s="1" t="s">
        <v>50</v>
      </c>
      <c r="H725" s="1" t="s">
        <v>7170</v>
      </c>
      <c r="I725" s="5">
        <v>39089</v>
      </c>
      <c r="J725" s="18" t="s">
        <v>10</v>
      </c>
      <c r="K725" s="1" t="s">
        <v>28</v>
      </c>
      <c r="L725" s="1" t="s">
        <v>2800</v>
      </c>
      <c r="M725" s="5"/>
      <c r="N725" s="5" t="s">
        <v>10</v>
      </c>
      <c r="O725" s="5" t="s">
        <v>10</v>
      </c>
      <c r="P725" s="1" t="s">
        <v>3965</v>
      </c>
      <c r="Q725" s="1" t="s">
        <v>3966</v>
      </c>
      <c r="R725" s="2" t="s">
        <v>4805</v>
      </c>
      <c r="S725" s="1" t="s">
        <v>6242</v>
      </c>
      <c r="T725" s="1">
        <v>6892</v>
      </c>
      <c r="U725" s="1">
        <v>2224</v>
      </c>
      <c r="X725" s="1">
        <v>2224</v>
      </c>
      <c r="AH725" s="1">
        <v>4668</v>
      </c>
      <c r="AK725" s="1">
        <v>4668</v>
      </c>
    </row>
    <row r="726" spans="1:43" x14ac:dyDescent="0.2">
      <c r="A726" s="1" t="s">
        <v>2636</v>
      </c>
      <c r="B726" s="1">
        <v>17211523</v>
      </c>
      <c r="C726" s="1" t="s">
        <v>7420</v>
      </c>
      <c r="E726" s="21">
        <v>5</v>
      </c>
      <c r="G726" s="1" t="s">
        <v>9</v>
      </c>
      <c r="H726" s="1" t="s">
        <v>7192</v>
      </c>
      <c r="I726" s="5">
        <v>39091</v>
      </c>
      <c r="J726" s="18" t="s">
        <v>10</v>
      </c>
      <c r="K726" s="1" t="s">
        <v>689</v>
      </c>
      <c r="L726" s="1" t="s">
        <v>2801</v>
      </c>
      <c r="N726" s="5" t="s">
        <v>10</v>
      </c>
      <c r="O726" s="5" t="s">
        <v>10</v>
      </c>
      <c r="P726" s="1" t="s">
        <v>3052</v>
      </c>
      <c r="Q726" s="1" t="s">
        <v>6084</v>
      </c>
      <c r="R726" s="2" t="s">
        <v>6064</v>
      </c>
      <c r="S726" s="1" t="s">
        <v>6242</v>
      </c>
      <c r="T726" s="1">
        <v>10237</v>
      </c>
      <c r="U726" s="1">
        <v>940</v>
      </c>
      <c r="X726" s="1">
        <v>940</v>
      </c>
      <c r="AH726" s="1">
        <v>9297</v>
      </c>
      <c r="AK726" s="1">
        <v>9297</v>
      </c>
    </row>
    <row r="727" spans="1:43" x14ac:dyDescent="0.2">
      <c r="A727" s="1" t="s">
        <v>23</v>
      </c>
      <c r="B727" s="1">
        <v>17223258</v>
      </c>
      <c r="C727" s="1" t="s">
        <v>7420</v>
      </c>
      <c r="D727" s="1" t="s">
        <v>7411</v>
      </c>
      <c r="E727" s="21">
        <v>1</v>
      </c>
      <c r="G727" s="1" t="s">
        <v>54</v>
      </c>
      <c r="H727" s="1" t="s">
        <v>1809</v>
      </c>
      <c r="I727" s="5">
        <v>39098</v>
      </c>
      <c r="J727" s="18" t="s">
        <v>11</v>
      </c>
      <c r="K727" s="1" t="s">
        <v>51</v>
      </c>
      <c r="L727" s="1" t="s">
        <v>52</v>
      </c>
      <c r="M727" s="5"/>
      <c r="N727" s="5" t="s">
        <v>10</v>
      </c>
      <c r="O727" s="5" t="s">
        <v>10</v>
      </c>
      <c r="P727" s="1" t="s">
        <v>53</v>
      </c>
      <c r="Q727" s="1" t="s">
        <v>6245</v>
      </c>
      <c r="R727" s="2" t="s">
        <v>5873</v>
      </c>
      <c r="S727" s="1" t="s">
        <v>6243</v>
      </c>
      <c r="T727" s="1">
        <v>1294</v>
      </c>
      <c r="U727" s="1">
        <v>673</v>
      </c>
      <c r="V727" s="1">
        <v>673</v>
      </c>
      <c r="AH727" s="1">
        <v>621</v>
      </c>
      <c r="AI727" s="1">
        <v>621</v>
      </c>
    </row>
    <row r="728" spans="1:43" x14ac:dyDescent="0.2">
      <c r="A728" s="1" t="s">
        <v>60</v>
      </c>
      <c r="B728" s="1">
        <v>17293876</v>
      </c>
      <c r="C728" s="1" t="s">
        <v>7420</v>
      </c>
      <c r="E728" s="21">
        <v>69</v>
      </c>
      <c r="G728" s="1" t="s">
        <v>61</v>
      </c>
      <c r="H728" s="1" t="s">
        <v>7396</v>
      </c>
      <c r="I728" s="5">
        <v>39124</v>
      </c>
      <c r="J728" s="18" t="s">
        <v>11</v>
      </c>
      <c r="K728" s="1" t="s">
        <v>58</v>
      </c>
      <c r="L728" s="1" t="s">
        <v>59</v>
      </c>
      <c r="M728" s="5"/>
      <c r="N728" s="5" t="s">
        <v>10</v>
      </c>
      <c r="O728" s="5" t="s">
        <v>10</v>
      </c>
      <c r="P728" s="1" t="s">
        <v>3554</v>
      </c>
      <c r="Q728" s="1" t="s">
        <v>4154</v>
      </c>
      <c r="R728" s="2" t="s">
        <v>4155</v>
      </c>
      <c r="S728" s="1" t="s">
        <v>6243</v>
      </c>
      <c r="T728" s="1">
        <v>6786</v>
      </c>
      <c r="U728" s="1">
        <v>1275</v>
      </c>
      <c r="V728" s="1">
        <v>1275</v>
      </c>
      <c r="AH728" s="1">
        <v>5511</v>
      </c>
      <c r="AI728" s="1">
        <v>5511</v>
      </c>
    </row>
    <row r="729" spans="1:43" x14ac:dyDescent="0.2">
      <c r="A729" s="1" t="s">
        <v>2631</v>
      </c>
      <c r="B729" s="1">
        <v>17309882</v>
      </c>
      <c r="C729" s="1" t="s">
        <v>7420</v>
      </c>
      <c r="E729" s="21">
        <v>41</v>
      </c>
      <c r="G729" s="1" t="s">
        <v>50</v>
      </c>
      <c r="H729" s="1" t="s">
        <v>7170</v>
      </c>
      <c r="I729" s="5">
        <v>39132</v>
      </c>
      <c r="J729" s="18" t="s">
        <v>10</v>
      </c>
      <c r="K729" s="1" t="s">
        <v>103</v>
      </c>
      <c r="L729" s="1" t="s">
        <v>2802</v>
      </c>
      <c r="N729" s="5" t="s">
        <v>10</v>
      </c>
      <c r="O729" s="5" t="s">
        <v>10</v>
      </c>
      <c r="P729" s="1" t="s">
        <v>3053</v>
      </c>
      <c r="Q729" s="1" t="s">
        <v>3054</v>
      </c>
      <c r="R729" s="2" t="s">
        <v>4264</v>
      </c>
      <c r="S729" s="1" t="s">
        <v>6242</v>
      </c>
      <c r="T729" s="1">
        <v>3883</v>
      </c>
      <c r="U729" s="1">
        <v>2224</v>
      </c>
      <c r="X729" s="1">
        <v>2224</v>
      </c>
      <c r="AH729" s="1">
        <v>1659</v>
      </c>
      <c r="AK729" s="1">
        <v>1659</v>
      </c>
    </row>
    <row r="730" spans="1:43" x14ac:dyDescent="0.2">
      <c r="A730" s="1" t="s">
        <v>69</v>
      </c>
      <c r="B730" s="1">
        <v>17357082</v>
      </c>
      <c r="C730" s="1" t="s">
        <v>7420</v>
      </c>
      <c r="E730" s="21">
        <v>10</v>
      </c>
      <c r="G730" s="1" t="s">
        <v>2574</v>
      </c>
      <c r="H730" s="1" t="s">
        <v>7077</v>
      </c>
      <c r="I730" s="5">
        <v>39149</v>
      </c>
      <c r="J730" s="18" t="s">
        <v>11</v>
      </c>
      <c r="K730" s="1" t="s">
        <v>16</v>
      </c>
      <c r="L730" s="1" t="s">
        <v>68</v>
      </c>
      <c r="M730" s="5"/>
      <c r="N730" s="5" t="s">
        <v>10</v>
      </c>
      <c r="O730" s="5" t="s">
        <v>10</v>
      </c>
      <c r="P730" s="1" t="s">
        <v>3816</v>
      </c>
      <c r="Q730" s="1" t="s">
        <v>3817</v>
      </c>
      <c r="R730" s="2" t="s">
        <v>5967</v>
      </c>
      <c r="S730" s="1" t="s">
        <v>6243</v>
      </c>
      <c r="T730" s="1">
        <v>1236</v>
      </c>
      <c r="U730" s="1">
        <v>632</v>
      </c>
      <c r="V730" s="1">
        <v>632</v>
      </c>
      <c r="AH730" s="1">
        <v>604</v>
      </c>
      <c r="AI730" s="1">
        <v>604</v>
      </c>
    </row>
    <row r="731" spans="1:43" x14ac:dyDescent="0.2">
      <c r="A731" s="1" t="s">
        <v>56</v>
      </c>
      <c r="B731" s="1">
        <v>17362836</v>
      </c>
      <c r="C731" s="1" t="s">
        <v>7420</v>
      </c>
      <c r="E731" s="21">
        <v>1615</v>
      </c>
      <c r="G731" s="1" t="s">
        <v>57</v>
      </c>
      <c r="H731" s="1" t="s">
        <v>7142</v>
      </c>
      <c r="I731" s="5">
        <v>39115</v>
      </c>
      <c r="J731" s="18" t="s">
        <v>11</v>
      </c>
      <c r="K731" s="1" t="s">
        <v>31</v>
      </c>
      <c r="L731" s="1" t="s">
        <v>55</v>
      </c>
      <c r="M731" s="5"/>
      <c r="N731" s="5" t="s">
        <v>10</v>
      </c>
      <c r="O731" s="5" t="s">
        <v>10</v>
      </c>
      <c r="P731" s="1" t="s">
        <v>3824</v>
      </c>
      <c r="Q731" s="1" t="s">
        <v>33</v>
      </c>
      <c r="R731" s="2" t="s">
        <v>4911</v>
      </c>
      <c r="S731" s="1" t="s">
        <v>6243</v>
      </c>
      <c r="T731" s="1">
        <v>552</v>
      </c>
      <c r="U731" s="1">
        <v>552</v>
      </c>
      <c r="V731" s="1">
        <v>552</v>
      </c>
    </row>
    <row r="732" spans="1:43" x14ac:dyDescent="0.2">
      <c r="A732" s="1" t="s">
        <v>92</v>
      </c>
      <c r="B732" s="1">
        <v>17395743</v>
      </c>
      <c r="C732" s="1" t="s">
        <v>7420</v>
      </c>
      <c r="E732" s="21">
        <v>21</v>
      </c>
      <c r="G732" s="1" t="s">
        <v>61</v>
      </c>
      <c r="H732" s="1" t="s">
        <v>7396</v>
      </c>
      <c r="I732" s="5">
        <v>39187</v>
      </c>
      <c r="J732" s="18" t="s">
        <v>11</v>
      </c>
      <c r="K732" s="1" t="s">
        <v>90</v>
      </c>
      <c r="L732" s="1" t="s">
        <v>91</v>
      </c>
      <c r="M732" s="5"/>
      <c r="N732" s="5" t="s">
        <v>10</v>
      </c>
      <c r="O732" s="5" t="s">
        <v>10</v>
      </c>
      <c r="P732" s="1" t="s">
        <v>3719</v>
      </c>
      <c r="Q732" s="1" t="s">
        <v>33</v>
      </c>
      <c r="R732" s="2" t="s">
        <v>5835</v>
      </c>
      <c r="S732" s="1" t="s">
        <v>6246</v>
      </c>
      <c r="T732" s="1">
        <v>207</v>
      </c>
      <c r="U732" s="1">
        <v>207</v>
      </c>
      <c r="AA732" s="1">
        <v>207</v>
      </c>
    </row>
    <row r="733" spans="1:43" x14ac:dyDescent="0.2">
      <c r="A733" s="1" t="s">
        <v>76</v>
      </c>
      <c r="B733" s="1">
        <v>17401363</v>
      </c>
      <c r="C733" s="1" t="s">
        <v>7420</v>
      </c>
      <c r="D733" s="1" t="s">
        <v>7411</v>
      </c>
      <c r="E733" s="21">
        <v>3</v>
      </c>
      <c r="G733" s="1" t="s">
        <v>77</v>
      </c>
      <c r="H733" s="1" t="s">
        <v>6689</v>
      </c>
      <c r="I733" s="5">
        <v>39173</v>
      </c>
      <c r="J733" s="18" t="s">
        <v>11</v>
      </c>
      <c r="K733" s="1" t="s">
        <v>28</v>
      </c>
      <c r="L733" s="1" t="s">
        <v>75</v>
      </c>
      <c r="M733" s="5"/>
      <c r="N733" s="5" t="s">
        <v>11</v>
      </c>
      <c r="O733" s="5" t="s">
        <v>11</v>
      </c>
      <c r="P733" s="1" t="s">
        <v>3731</v>
      </c>
      <c r="Q733" s="1" t="s">
        <v>6247</v>
      </c>
      <c r="R733" s="2" t="s">
        <v>5685</v>
      </c>
      <c r="S733" s="1" t="s">
        <v>6244</v>
      </c>
      <c r="T733" s="1">
        <v>8595</v>
      </c>
      <c r="U733" s="1">
        <v>2329</v>
      </c>
      <c r="V733" s="1">
        <v>2329</v>
      </c>
      <c r="AH733" s="1">
        <v>6266</v>
      </c>
      <c r="AQ733" s="1">
        <v>6266</v>
      </c>
    </row>
    <row r="734" spans="1:43" x14ac:dyDescent="0.2">
      <c r="A734" s="1" t="s">
        <v>80</v>
      </c>
      <c r="B734" s="1">
        <v>17401366</v>
      </c>
      <c r="C734" s="1" t="s">
        <v>7420</v>
      </c>
      <c r="D734" s="1" t="s">
        <v>7411</v>
      </c>
      <c r="E734" s="21">
        <v>2</v>
      </c>
      <c r="G734" s="1" t="s">
        <v>77</v>
      </c>
      <c r="H734" s="1" t="s">
        <v>6689</v>
      </c>
      <c r="I734" s="5">
        <v>39173</v>
      </c>
      <c r="J734" s="18" t="s">
        <v>11</v>
      </c>
      <c r="K734" s="1" t="s">
        <v>28</v>
      </c>
      <c r="L734" s="1" t="s">
        <v>79</v>
      </c>
      <c r="M734" s="5"/>
      <c r="N734" s="5" t="s">
        <v>11</v>
      </c>
      <c r="O734" s="5" t="s">
        <v>11</v>
      </c>
      <c r="P734" s="1" t="s">
        <v>3747</v>
      </c>
      <c r="Q734" s="1" t="s">
        <v>4129</v>
      </c>
      <c r="R734" s="2" t="s">
        <v>5697</v>
      </c>
      <c r="S734" s="1" t="s">
        <v>6244</v>
      </c>
      <c r="T734" s="1">
        <v>8917</v>
      </c>
      <c r="U734" s="1">
        <v>4517</v>
      </c>
      <c r="V734" s="1">
        <v>4517</v>
      </c>
      <c r="AH734" s="1">
        <v>4400</v>
      </c>
      <c r="AI734" s="1">
        <v>3655</v>
      </c>
      <c r="AJ734" s="1">
        <v>745</v>
      </c>
    </row>
    <row r="735" spans="1:43" x14ac:dyDescent="0.2">
      <c r="A735" s="1" t="s">
        <v>84</v>
      </c>
      <c r="B735" s="1">
        <v>17407593</v>
      </c>
      <c r="C735" s="1" t="s">
        <v>7420</v>
      </c>
      <c r="E735" s="21">
        <v>27</v>
      </c>
      <c r="G735" s="1" t="s">
        <v>85</v>
      </c>
      <c r="H735" s="1" t="s">
        <v>7156</v>
      </c>
      <c r="I735" s="5">
        <v>39175</v>
      </c>
      <c r="J735" s="18" t="s">
        <v>11</v>
      </c>
      <c r="K735" s="1" t="s">
        <v>82</v>
      </c>
      <c r="L735" s="1" t="s">
        <v>83</v>
      </c>
      <c r="M735" s="5"/>
      <c r="N735" s="5" t="s">
        <v>10</v>
      </c>
      <c r="O735" s="5" t="s">
        <v>10</v>
      </c>
      <c r="P735" s="1" t="s">
        <v>3741</v>
      </c>
      <c r="Q735" s="1" t="s">
        <v>33</v>
      </c>
      <c r="R735" s="2" t="s">
        <v>5964</v>
      </c>
      <c r="S735" s="1" t="s">
        <v>6243</v>
      </c>
      <c r="T735" s="1">
        <v>454</v>
      </c>
      <c r="U735" s="1">
        <v>454</v>
      </c>
      <c r="V735" s="1">
        <v>454</v>
      </c>
    </row>
    <row r="736" spans="1:43" x14ac:dyDescent="0.2">
      <c r="A736" s="1" t="s">
        <v>63</v>
      </c>
      <c r="B736" s="1">
        <v>17434096</v>
      </c>
      <c r="C736" s="1" t="s">
        <v>7420</v>
      </c>
      <c r="E736" s="21">
        <v>167</v>
      </c>
      <c r="G736" s="1" t="s">
        <v>64</v>
      </c>
      <c r="H736" s="1" t="s">
        <v>7170</v>
      </c>
      <c r="I736" s="5">
        <v>39144</v>
      </c>
      <c r="J736" s="18" t="s">
        <v>11</v>
      </c>
      <c r="K736" s="1" t="s">
        <v>31</v>
      </c>
      <c r="L736" s="1" t="s">
        <v>62</v>
      </c>
      <c r="M736" s="5"/>
      <c r="N736" s="5" t="s">
        <v>10</v>
      </c>
      <c r="O736" s="5" t="s">
        <v>10</v>
      </c>
      <c r="P736" s="1" t="s">
        <v>3831</v>
      </c>
      <c r="Q736" s="1" t="s">
        <v>33</v>
      </c>
      <c r="R736" s="2" t="s">
        <v>5741</v>
      </c>
      <c r="S736" s="1" t="s">
        <v>6243</v>
      </c>
      <c r="T736" s="1">
        <v>528</v>
      </c>
      <c r="U736" s="1">
        <v>528</v>
      </c>
      <c r="V736" s="1">
        <v>528</v>
      </c>
    </row>
    <row r="737" spans="1:44" x14ac:dyDescent="0.2">
      <c r="A737" s="1" t="s">
        <v>94</v>
      </c>
      <c r="B737" s="1">
        <v>17435756</v>
      </c>
      <c r="C737" s="1" t="s">
        <v>7420</v>
      </c>
      <c r="E737" s="21">
        <v>25</v>
      </c>
      <c r="G737" s="1" t="s">
        <v>21</v>
      </c>
      <c r="H737" s="1" t="s">
        <v>22</v>
      </c>
      <c r="I737" s="5">
        <v>39187</v>
      </c>
      <c r="J737" s="18" t="s">
        <v>11</v>
      </c>
      <c r="K737" s="1" t="s">
        <v>28</v>
      </c>
      <c r="L737" s="1" t="s">
        <v>93</v>
      </c>
      <c r="M737" s="5"/>
      <c r="N737" s="5" t="s">
        <v>10</v>
      </c>
      <c r="O737" s="5" t="s">
        <v>10</v>
      </c>
      <c r="P737" s="1" t="s">
        <v>3469</v>
      </c>
      <c r="Q737" s="1" t="s">
        <v>3869</v>
      </c>
      <c r="R737" s="2" t="s">
        <v>5820</v>
      </c>
      <c r="S737" s="1" t="s">
        <v>6243</v>
      </c>
      <c r="T737" s="1">
        <v>4073</v>
      </c>
      <c r="U737" s="1">
        <v>1923</v>
      </c>
      <c r="V737" s="1">
        <v>1923</v>
      </c>
      <c r="AH737" s="1">
        <v>2150</v>
      </c>
      <c r="AI737" s="1">
        <v>2150</v>
      </c>
    </row>
    <row r="738" spans="1:44" x14ac:dyDescent="0.2">
      <c r="A738" s="1" t="s">
        <v>67</v>
      </c>
      <c r="B738" s="1">
        <v>17447842</v>
      </c>
      <c r="C738" s="1" t="s">
        <v>7420</v>
      </c>
      <c r="E738" s="21">
        <v>12</v>
      </c>
      <c r="G738" s="1" t="s">
        <v>21</v>
      </c>
      <c r="H738" s="1" t="s">
        <v>22</v>
      </c>
      <c r="I738" s="5">
        <v>39146</v>
      </c>
      <c r="J738" s="18" t="s">
        <v>11</v>
      </c>
      <c r="K738" s="1" t="s">
        <v>65</v>
      </c>
      <c r="L738" s="1" t="s">
        <v>66</v>
      </c>
      <c r="M738" s="5"/>
      <c r="N738" s="5" t="s">
        <v>10</v>
      </c>
      <c r="O738" s="5" t="s">
        <v>10</v>
      </c>
      <c r="P738" s="1" t="s">
        <v>3576</v>
      </c>
      <c r="Q738" s="1" t="s">
        <v>3935</v>
      </c>
      <c r="R738" s="2" t="s">
        <v>5784</v>
      </c>
      <c r="S738" s="1" t="s">
        <v>6243</v>
      </c>
      <c r="T738" s="1">
        <v>4584</v>
      </c>
      <c r="U738" s="1">
        <v>1475</v>
      </c>
      <c r="V738" s="1">
        <v>1475</v>
      </c>
      <c r="AH738" s="1">
        <v>3109</v>
      </c>
      <c r="AI738" s="1">
        <v>3109</v>
      </c>
    </row>
    <row r="739" spans="1:44" x14ac:dyDescent="0.2">
      <c r="A739" s="1" t="s">
        <v>96</v>
      </c>
      <c r="B739" s="1">
        <v>17460697</v>
      </c>
      <c r="C739" s="1" t="s">
        <v>7420</v>
      </c>
      <c r="E739" s="21">
        <v>95</v>
      </c>
      <c r="G739" s="1" t="s">
        <v>61</v>
      </c>
      <c r="H739" s="1" t="s">
        <v>7396</v>
      </c>
      <c r="I739" s="5">
        <v>39198</v>
      </c>
      <c r="J739" s="18" t="s">
        <v>11</v>
      </c>
      <c r="K739" s="1" t="s">
        <v>28</v>
      </c>
      <c r="L739" s="1" t="s">
        <v>95</v>
      </c>
      <c r="M739" s="5"/>
      <c r="N739" s="5" t="s">
        <v>10</v>
      </c>
      <c r="O739" s="5" t="s">
        <v>10</v>
      </c>
      <c r="P739" s="1" t="s">
        <v>4550</v>
      </c>
      <c r="Q739" s="1" t="s">
        <v>4722</v>
      </c>
      <c r="R739" s="2" t="s">
        <v>6036</v>
      </c>
      <c r="S739" s="1" t="s">
        <v>6243</v>
      </c>
      <c r="T739" s="1">
        <v>16398</v>
      </c>
      <c r="U739" s="1">
        <v>6674</v>
      </c>
      <c r="V739" s="1">
        <v>6674</v>
      </c>
      <c r="AH739" s="1">
        <v>9724</v>
      </c>
      <c r="AI739" s="1">
        <v>9724</v>
      </c>
    </row>
    <row r="740" spans="1:44" x14ac:dyDescent="0.2">
      <c r="A740" s="1" t="s">
        <v>270</v>
      </c>
      <c r="B740" s="1">
        <v>17463246</v>
      </c>
      <c r="C740" s="1" t="s">
        <v>7420</v>
      </c>
      <c r="E740" s="21">
        <v>12672</v>
      </c>
      <c r="G740" s="1" t="s">
        <v>7100</v>
      </c>
      <c r="H740" s="1" t="s">
        <v>7397</v>
      </c>
      <c r="I740" s="5">
        <v>39345</v>
      </c>
      <c r="J740" s="18" t="s">
        <v>11</v>
      </c>
      <c r="K740" s="1" t="s">
        <v>25</v>
      </c>
      <c r="L740" s="1" t="s">
        <v>269</v>
      </c>
      <c r="M740" s="5"/>
      <c r="N740" s="5" t="s">
        <v>10</v>
      </c>
      <c r="O740" s="5" t="s">
        <v>10</v>
      </c>
      <c r="P740" s="1" t="s">
        <v>3456</v>
      </c>
      <c r="Q740" s="1" t="s">
        <v>33</v>
      </c>
      <c r="R740" s="2" t="s">
        <v>4637</v>
      </c>
      <c r="S740" s="1" t="s">
        <v>6243</v>
      </c>
      <c r="T740" s="1">
        <v>5217</v>
      </c>
      <c r="U740" s="1">
        <v>5217</v>
      </c>
      <c r="V740" s="1">
        <v>5217</v>
      </c>
    </row>
    <row r="741" spans="1:44" x14ac:dyDescent="0.2">
      <c r="A741" s="1" t="s">
        <v>99</v>
      </c>
      <c r="B741" s="1">
        <v>17463248</v>
      </c>
      <c r="C741" s="1" t="s">
        <v>7420</v>
      </c>
      <c r="E741" s="21">
        <v>335</v>
      </c>
      <c r="G741" s="1" t="s">
        <v>61</v>
      </c>
      <c r="H741" s="1" t="s">
        <v>7396</v>
      </c>
      <c r="I741" s="5">
        <v>39198</v>
      </c>
      <c r="J741" s="18" t="s">
        <v>11</v>
      </c>
      <c r="K741" s="1" t="s">
        <v>25</v>
      </c>
      <c r="L741" s="1" t="s">
        <v>98</v>
      </c>
      <c r="M741" s="5"/>
      <c r="N741" s="5" t="s">
        <v>10</v>
      </c>
      <c r="O741" s="5" t="s">
        <v>10</v>
      </c>
      <c r="P741" s="1" t="s">
        <v>3728</v>
      </c>
      <c r="Q741" s="1" t="s">
        <v>3899</v>
      </c>
      <c r="R741" s="2" t="s">
        <v>5683</v>
      </c>
      <c r="S741" s="1" t="s">
        <v>6243</v>
      </c>
      <c r="T741" s="1">
        <v>4808</v>
      </c>
      <c r="U741" s="1">
        <v>2335</v>
      </c>
      <c r="V741" s="1">
        <v>2335</v>
      </c>
      <c r="AH741" s="1">
        <v>2473</v>
      </c>
      <c r="AI741" s="1">
        <v>2473</v>
      </c>
    </row>
    <row r="742" spans="1:44" x14ac:dyDescent="0.2">
      <c r="A742" s="1" t="s">
        <v>102</v>
      </c>
      <c r="B742" s="1">
        <v>17463249</v>
      </c>
      <c r="C742" s="1" t="s">
        <v>7420</v>
      </c>
      <c r="E742" s="21">
        <v>81</v>
      </c>
      <c r="G742" s="1" t="s">
        <v>61</v>
      </c>
      <c r="H742" s="1" t="s">
        <v>7396</v>
      </c>
      <c r="I742" s="5">
        <v>39198</v>
      </c>
      <c r="J742" s="18" t="s">
        <v>11</v>
      </c>
      <c r="K742" s="1" t="s">
        <v>25</v>
      </c>
      <c r="L742" s="1" t="s">
        <v>101</v>
      </c>
      <c r="M742" s="5"/>
      <c r="N742" s="5" t="s">
        <v>10</v>
      </c>
      <c r="O742" s="5" t="s">
        <v>10</v>
      </c>
      <c r="P742" s="1" t="s">
        <v>3776</v>
      </c>
      <c r="Q742" s="1" t="s">
        <v>4528</v>
      </c>
      <c r="R742" s="2" t="s">
        <v>4301</v>
      </c>
      <c r="S742" s="1" t="s">
        <v>6243</v>
      </c>
      <c r="T742" s="1">
        <v>13965</v>
      </c>
      <c r="U742" s="1">
        <v>4862</v>
      </c>
      <c r="V742" s="1">
        <v>4862</v>
      </c>
      <c r="AH742" s="1">
        <v>9103</v>
      </c>
      <c r="AI742" s="1">
        <v>9103</v>
      </c>
    </row>
    <row r="743" spans="1:44" x14ac:dyDescent="0.2">
      <c r="A743" s="1" t="s">
        <v>105</v>
      </c>
      <c r="B743" s="1">
        <v>17470457</v>
      </c>
      <c r="C743" s="1" t="s">
        <v>7420</v>
      </c>
      <c r="E743" s="21">
        <v>30</v>
      </c>
      <c r="G743" s="1" t="s">
        <v>7096</v>
      </c>
      <c r="H743" s="1" t="s">
        <v>40</v>
      </c>
      <c r="I743" s="5">
        <v>39202</v>
      </c>
      <c r="J743" s="18" t="s">
        <v>11</v>
      </c>
      <c r="K743" s="1" t="s">
        <v>103</v>
      </c>
      <c r="L743" s="1" t="s">
        <v>104</v>
      </c>
      <c r="M743" s="5"/>
      <c r="N743" s="5" t="s">
        <v>10</v>
      </c>
      <c r="O743" s="5" t="s">
        <v>10</v>
      </c>
      <c r="P743" s="1" t="s">
        <v>3698</v>
      </c>
      <c r="Q743" s="1" t="s">
        <v>3699</v>
      </c>
      <c r="R743" s="2" t="s">
        <v>5963</v>
      </c>
      <c r="S743" s="1" t="s">
        <v>6243</v>
      </c>
      <c r="T743" s="1">
        <v>813</v>
      </c>
      <c r="U743" s="1">
        <v>341</v>
      </c>
      <c r="V743" s="1">
        <v>341</v>
      </c>
      <c r="AH743" s="1">
        <v>472</v>
      </c>
      <c r="AI743" s="1">
        <v>472</v>
      </c>
    </row>
    <row r="744" spans="1:44" x14ac:dyDescent="0.2">
      <c r="A744" s="1" t="s">
        <v>88</v>
      </c>
      <c r="B744" s="1">
        <v>17474819</v>
      </c>
      <c r="C744" s="1" t="s">
        <v>7420</v>
      </c>
      <c r="D744" s="1" t="s">
        <v>7411</v>
      </c>
      <c r="E744" s="21">
        <v>1</v>
      </c>
      <c r="G744" s="1" t="s">
        <v>89</v>
      </c>
      <c r="H744" s="1" t="s">
        <v>7126</v>
      </c>
      <c r="I744" s="5">
        <v>39187</v>
      </c>
      <c r="J744" s="18" t="s">
        <v>11</v>
      </c>
      <c r="K744" s="1" t="s">
        <v>86</v>
      </c>
      <c r="L744" s="1" t="s">
        <v>87</v>
      </c>
      <c r="M744" s="5"/>
      <c r="N744" s="5" t="s">
        <v>10</v>
      </c>
      <c r="O744" s="5" t="s">
        <v>10</v>
      </c>
      <c r="P744" s="1" t="s">
        <v>3551</v>
      </c>
      <c r="Q744" s="1" t="s">
        <v>33</v>
      </c>
      <c r="R744" s="2" t="s">
        <v>5909</v>
      </c>
      <c r="S744" s="1" t="s">
        <v>6248</v>
      </c>
      <c r="T744" s="1">
        <v>1086</v>
      </c>
      <c r="U744" s="1">
        <v>1086</v>
      </c>
      <c r="AE744" s="1">
        <v>1086</v>
      </c>
    </row>
    <row r="745" spans="1:44" x14ac:dyDescent="0.2">
      <c r="A745" s="1" t="s">
        <v>109</v>
      </c>
      <c r="B745" s="1">
        <v>17478679</v>
      </c>
      <c r="C745" s="1" t="s">
        <v>7420</v>
      </c>
      <c r="E745" s="21">
        <v>11</v>
      </c>
      <c r="G745" s="1" t="s">
        <v>9</v>
      </c>
      <c r="H745" s="1" t="s">
        <v>7192</v>
      </c>
      <c r="I745" s="5">
        <v>39205</v>
      </c>
      <c r="J745" s="18" t="s">
        <v>11</v>
      </c>
      <c r="K745" s="1" t="s">
        <v>25</v>
      </c>
      <c r="L745" s="1" t="s">
        <v>108</v>
      </c>
      <c r="M745" s="5"/>
      <c r="N745" s="5" t="s">
        <v>10</v>
      </c>
      <c r="O745" s="5" t="s">
        <v>10</v>
      </c>
      <c r="P745" s="1" t="s">
        <v>3756</v>
      </c>
      <c r="Q745" s="1" t="s">
        <v>4622</v>
      </c>
      <c r="R745" s="2" t="s">
        <v>5706</v>
      </c>
      <c r="S745" s="1" t="s">
        <v>6243</v>
      </c>
      <c r="T745" s="1">
        <v>17624</v>
      </c>
      <c r="U745" s="1">
        <v>8335</v>
      </c>
      <c r="V745" s="1">
        <v>8335</v>
      </c>
      <c r="AH745" s="1">
        <v>9289</v>
      </c>
      <c r="AI745" s="1">
        <v>9289</v>
      </c>
    </row>
    <row r="746" spans="1:44" x14ac:dyDescent="0.2">
      <c r="A746" s="1" t="s">
        <v>107</v>
      </c>
      <c r="B746" s="1">
        <v>17478681</v>
      </c>
      <c r="C746" s="1" t="s">
        <v>7420</v>
      </c>
      <c r="D746" s="1" t="s">
        <v>7411</v>
      </c>
      <c r="E746" s="21">
        <v>2</v>
      </c>
      <c r="G746" s="1" t="s">
        <v>3132</v>
      </c>
      <c r="H746" s="1" t="s">
        <v>7185</v>
      </c>
      <c r="I746" s="5">
        <v>39205</v>
      </c>
      <c r="J746" s="18" t="s">
        <v>11</v>
      </c>
      <c r="K746" s="1" t="s">
        <v>25</v>
      </c>
      <c r="L746" s="1" t="s">
        <v>106</v>
      </c>
      <c r="M746" s="5"/>
      <c r="N746" s="5" t="s">
        <v>10</v>
      </c>
      <c r="O746" s="5" t="s">
        <v>10</v>
      </c>
      <c r="P746" s="1" t="s">
        <v>3709</v>
      </c>
      <c r="Q746" s="1" t="s">
        <v>4878</v>
      </c>
      <c r="R746" s="2" t="s">
        <v>5932</v>
      </c>
      <c r="S746" s="1" t="s">
        <v>6244</v>
      </c>
      <c r="T746" s="1">
        <v>28681</v>
      </c>
      <c r="U746" s="1">
        <v>634</v>
      </c>
      <c r="V746" s="1">
        <v>634</v>
      </c>
      <c r="AH746" s="1">
        <v>28047</v>
      </c>
      <c r="AI746" s="1">
        <v>23791</v>
      </c>
      <c r="AJ746" s="1">
        <v>4256</v>
      </c>
    </row>
    <row r="747" spans="1:44" x14ac:dyDescent="0.2">
      <c r="A747" s="1" t="s">
        <v>111</v>
      </c>
      <c r="B747" s="1">
        <v>17486107</v>
      </c>
      <c r="C747" s="1" t="s">
        <v>7420</v>
      </c>
      <c r="E747" s="21">
        <v>220</v>
      </c>
      <c r="G747" s="1" t="s">
        <v>112</v>
      </c>
      <c r="H747" s="1" t="s">
        <v>7145</v>
      </c>
      <c r="I747" s="5">
        <v>39210</v>
      </c>
      <c r="J747" s="18" t="s">
        <v>11</v>
      </c>
      <c r="K747" s="1" t="s">
        <v>71</v>
      </c>
      <c r="L747" s="1" t="s">
        <v>110</v>
      </c>
      <c r="M747" s="5"/>
      <c r="N747" s="5" t="s">
        <v>10</v>
      </c>
      <c r="O747" s="5" t="s">
        <v>10</v>
      </c>
      <c r="P747" s="1" t="s">
        <v>3617</v>
      </c>
      <c r="Q747" s="1" t="s">
        <v>3618</v>
      </c>
      <c r="R747" s="2" t="s">
        <v>5976</v>
      </c>
      <c r="S747" s="1" t="s">
        <v>6243</v>
      </c>
      <c r="T747" s="1">
        <v>2672</v>
      </c>
      <c r="U747" s="1">
        <v>1024</v>
      </c>
      <c r="V747" s="1">
        <v>1024</v>
      </c>
      <c r="AH747" s="1">
        <v>1648</v>
      </c>
      <c r="AI747" s="1">
        <v>1648</v>
      </c>
    </row>
    <row r="748" spans="1:44" x14ac:dyDescent="0.2">
      <c r="A748" s="1" t="s">
        <v>115</v>
      </c>
      <c r="B748" s="1">
        <v>17505501</v>
      </c>
      <c r="C748" s="1" t="s">
        <v>7420</v>
      </c>
      <c r="E748" s="21">
        <v>10</v>
      </c>
      <c r="G748" s="1" t="s">
        <v>116</v>
      </c>
      <c r="H748" s="1" t="s">
        <v>7164</v>
      </c>
      <c r="I748" s="5">
        <v>39217</v>
      </c>
      <c r="J748" s="18" t="s">
        <v>11</v>
      </c>
      <c r="K748" s="1" t="s">
        <v>113</v>
      </c>
      <c r="L748" s="1" t="s">
        <v>114</v>
      </c>
      <c r="M748" s="5"/>
      <c r="N748" s="5" t="s">
        <v>10</v>
      </c>
      <c r="O748" s="5" t="s">
        <v>10</v>
      </c>
      <c r="P748" s="1" t="s">
        <v>3527</v>
      </c>
      <c r="Q748" s="1" t="s">
        <v>3528</v>
      </c>
      <c r="R748" s="2" t="s">
        <v>5934</v>
      </c>
      <c r="S748" s="1" t="s">
        <v>6248</v>
      </c>
      <c r="T748" s="1">
        <v>230</v>
      </c>
      <c r="U748" s="1">
        <v>204</v>
      </c>
      <c r="AE748" s="1">
        <v>204</v>
      </c>
      <c r="AH748" s="1">
        <v>26</v>
      </c>
      <c r="AR748" s="1">
        <v>26</v>
      </c>
    </row>
    <row r="749" spans="1:44" x14ac:dyDescent="0.2">
      <c r="A749" s="1" t="s">
        <v>73</v>
      </c>
      <c r="B749" s="1">
        <v>17522711</v>
      </c>
      <c r="C749" s="1" t="s">
        <v>7420</v>
      </c>
      <c r="E749" s="21">
        <v>6</v>
      </c>
      <c r="G749" s="1" t="s">
        <v>74</v>
      </c>
      <c r="H749" s="1" t="s">
        <v>2545</v>
      </c>
      <c r="I749" s="5">
        <v>39161</v>
      </c>
      <c r="J749" s="18" t="s">
        <v>11</v>
      </c>
      <c r="K749" s="1" t="s">
        <v>71</v>
      </c>
      <c r="L749" s="1" t="s">
        <v>72</v>
      </c>
      <c r="M749" s="5"/>
      <c r="N749" s="5" t="s">
        <v>10</v>
      </c>
      <c r="O749" s="5" t="s">
        <v>10</v>
      </c>
      <c r="P749" s="1" t="s">
        <v>6218</v>
      </c>
      <c r="Q749" s="1" t="s">
        <v>33</v>
      </c>
      <c r="R749" s="2" t="s">
        <v>5850</v>
      </c>
      <c r="S749" s="1" t="s">
        <v>6243</v>
      </c>
      <c r="T749" s="1">
        <v>322</v>
      </c>
      <c r="U749" s="1">
        <v>322</v>
      </c>
      <c r="V749" s="1">
        <v>322</v>
      </c>
    </row>
    <row r="750" spans="1:44" x14ac:dyDescent="0.2">
      <c r="A750" s="1" t="s">
        <v>121</v>
      </c>
      <c r="B750" s="1">
        <v>17529967</v>
      </c>
      <c r="C750" s="1" t="s">
        <v>7420</v>
      </c>
      <c r="E750" s="21">
        <v>45</v>
      </c>
      <c r="G750" s="1" t="s">
        <v>119</v>
      </c>
      <c r="H750" s="1" t="s">
        <v>6675</v>
      </c>
      <c r="I750" s="5">
        <v>39229</v>
      </c>
      <c r="J750" s="18" t="s">
        <v>11</v>
      </c>
      <c r="K750" s="1" t="s">
        <v>58</v>
      </c>
      <c r="L750" s="1" t="s">
        <v>120</v>
      </c>
      <c r="M750" s="5"/>
      <c r="N750" s="5" t="s">
        <v>11</v>
      </c>
      <c r="O750" s="5" t="s">
        <v>11</v>
      </c>
      <c r="P750" s="1" t="s">
        <v>3668</v>
      </c>
      <c r="Q750" s="1" t="s">
        <v>6645</v>
      </c>
      <c r="R750" s="2" t="s">
        <v>5933</v>
      </c>
      <c r="S750" s="1" t="s">
        <v>6244</v>
      </c>
      <c r="T750" s="1">
        <v>55669</v>
      </c>
      <c r="U750" s="1">
        <v>754</v>
      </c>
      <c r="V750" s="1">
        <v>754</v>
      </c>
      <c r="AH750" s="1">
        <v>54915</v>
      </c>
      <c r="AI750" s="1">
        <v>41118</v>
      </c>
      <c r="AK750" s="1">
        <v>7538</v>
      </c>
      <c r="AR750" s="1">
        <v>6259</v>
      </c>
    </row>
    <row r="751" spans="1:44" x14ac:dyDescent="0.2">
      <c r="A751" s="1" t="s">
        <v>123</v>
      </c>
      <c r="B751" s="1">
        <v>17529973</v>
      </c>
      <c r="C751" s="1" t="s">
        <v>7420</v>
      </c>
      <c r="E751" s="21">
        <v>11</v>
      </c>
      <c r="G751" s="1" t="s">
        <v>124</v>
      </c>
      <c r="H751" s="1" t="s">
        <v>6679</v>
      </c>
      <c r="I751" s="5">
        <v>39229</v>
      </c>
      <c r="J751" s="18" t="s">
        <v>11</v>
      </c>
      <c r="K751" s="1" t="s">
        <v>28</v>
      </c>
      <c r="L751" s="1" t="s">
        <v>122</v>
      </c>
      <c r="M751" s="5"/>
      <c r="N751" s="5" t="s">
        <v>11</v>
      </c>
      <c r="O751" s="5" t="s">
        <v>11</v>
      </c>
      <c r="P751" s="1" t="s">
        <v>3725</v>
      </c>
      <c r="Q751" s="1" t="s">
        <v>6249</v>
      </c>
      <c r="R751" s="2" t="s">
        <v>4781</v>
      </c>
      <c r="S751" s="1" t="s">
        <v>6243</v>
      </c>
      <c r="T751" s="1">
        <v>5535</v>
      </c>
      <c r="U751" s="1">
        <v>2287</v>
      </c>
      <c r="V751" s="1">
        <v>2287</v>
      </c>
      <c r="AH751" s="1">
        <v>3248</v>
      </c>
      <c r="AI751" s="1">
        <v>3248</v>
      </c>
    </row>
    <row r="752" spans="1:44" x14ac:dyDescent="0.2">
      <c r="A752" s="1" t="s">
        <v>118</v>
      </c>
      <c r="B752" s="1">
        <v>17529974</v>
      </c>
      <c r="C752" s="1" t="s">
        <v>7420</v>
      </c>
      <c r="E752" s="21">
        <v>9</v>
      </c>
      <c r="G752" s="1" t="s">
        <v>119</v>
      </c>
      <c r="H752" s="1" t="s">
        <v>6675</v>
      </c>
      <c r="I752" s="5">
        <v>39229</v>
      </c>
      <c r="J752" s="18" t="s">
        <v>11</v>
      </c>
      <c r="K752" s="1" t="s">
        <v>28</v>
      </c>
      <c r="L752" s="1" t="s">
        <v>117</v>
      </c>
      <c r="M752" s="5"/>
      <c r="N752" s="5" t="s">
        <v>11</v>
      </c>
      <c r="O752" s="5" t="s">
        <v>11</v>
      </c>
      <c r="P752" s="1" t="s">
        <v>3755</v>
      </c>
      <c r="Q752" s="1" t="s">
        <v>4524</v>
      </c>
      <c r="R752" s="2" t="s">
        <v>5705</v>
      </c>
      <c r="S752" s="1" t="s">
        <v>6243</v>
      </c>
      <c r="T752" s="1">
        <v>22046</v>
      </c>
      <c r="U752" s="1">
        <v>13145</v>
      </c>
      <c r="V752" s="1">
        <v>13145</v>
      </c>
      <c r="AH752" s="1">
        <v>8901</v>
      </c>
      <c r="AI752" s="1">
        <v>8901</v>
      </c>
    </row>
    <row r="753" spans="1:56" x14ac:dyDescent="0.2">
      <c r="A753" s="1" t="s">
        <v>1799</v>
      </c>
      <c r="B753" s="1">
        <v>17537913</v>
      </c>
      <c r="C753" s="1" t="s">
        <v>7420</v>
      </c>
      <c r="E753" s="21">
        <v>341</v>
      </c>
      <c r="F753" s="17">
        <v>1</v>
      </c>
      <c r="G753" s="1" t="s">
        <v>7078</v>
      </c>
      <c r="H753" s="1" t="s">
        <v>7345</v>
      </c>
      <c r="I753" s="5">
        <v>39238</v>
      </c>
      <c r="J753" s="18" t="s">
        <v>10</v>
      </c>
      <c r="K753" s="1" t="s">
        <v>210</v>
      </c>
      <c r="L753" s="1" t="s">
        <v>2803</v>
      </c>
      <c r="M753" s="5"/>
      <c r="N753" s="5" t="s">
        <v>10</v>
      </c>
      <c r="O753" s="5" t="s">
        <v>10</v>
      </c>
      <c r="P753" s="1" t="s">
        <v>5483</v>
      </c>
      <c r="Q753" s="1" t="s">
        <v>33</v>
      </c>
      <c r="R753" s="2" t="s">
        <v>3025</v>
      </c>
      <c r="S753" s="1" t="s">
        <v>6244</v>
      </c>
      <c r="T753" s="1">
        <v>176</v>
      </c>
      <c r="U753" s="1">
        <v>176</v>
      </c>
      <c r="V753" s="1">
        <v>87</v>
      </c>
      <c r="W753" s="1">
        <v>89</v>
      </c>
    </row>
    <row r="754" spans="1:56" x14ac:dyDescent="0.2">
      <c r="A754" s="1" t="s">
        <v>127</v>
      </c>
      <c r="B754" s="1">
        <v>17553421</v>
      </c>
      <c r="C754" s="1" t="s">
        <v>7420</v>
      </c>
      <c r="E754" s="21">
        <v>10</v>
      </c>
      <c r="G754" s="1" t="s">
        <v>128</v>
      </c>
      <c r="H754" s="1" t="s">
        <v>7126</v>
      </c>
      <c r="I754" s="5">
        <v>39239</v>
      </c>
      <c r="J754" s="18" t="s">
        <v>11</v>
      </c>
      <c r="K754" s="1" t="s">
        <v>125</v>
      </c>
      <c r="L754" s="1" t="s">
        <v>126</v>
      </c>
      <c r="M754" s="5"/>
      <c r="N754" s="5" t="s">
        <v>10</v>
      </c>
      <c r="O754" s="5" t="s">
        <v>10</v>
      </c>
      <c r="P754" s="1" t="s">
        <v>3628</v>
      </c>
      <c r="Q754" s="1" t="s">
        <v>3629</v>
      </c>
      <c r="R754" s="2" t="s">
        <v>5886</v>
      </c>
      <c r="S754" s="1" t="s">
        <v>6248</v>
      </c>
      <c r="T754" s="1">
        <v>1411</v>
      </c>
      <c r="U754" s="1">
        <v>736</v>
      </c>
      <c r="AE754" s="1">
        <v>736</v>
      </c>
      <c r="AH754" s="1">
        <v>675</v>
      </c>
      <c r="AR754" s="1">
        <v>675</v>
      </c>
    </row>
    <row r="755" spans="1:56" x14ac:dyDescent="0.2">
      <c r="A755" s="1" t="s">
        <v>129</v>
      </c>
      <c r="B755" s="1">
        <v>17554300</v>
      </c>
      <c r="C755" s="1" t="s">
        <v>7420</v>
      </c>
      <c r="E755" s="21">
        <v>26454</v>
      </c>
      <c r="G755" s="1" t="s">
        <v>7099</v>
      </c>
      <c r="H755" s="1" t="s">
        <v>7388</v>
      </c>
      <c r="I755" s="5">
        <v>39240</v>
      </c>
      <c r="J755" s="18" t="s">
        <v>11</v>
      </c>
      <c r="K755" s="1" t="s">
        <v>58</v>
      </c>
      <c r="L755" s="1" t="s">
        <v>130</v>
      </c>
      <c r="M755" s="5"/>
      <c r="N755" s="5" t="s">
        <v>10</v>
      </c>
      <c r="O755" s="5" t="s">
        <v>10</v>
      </c>
      <c r="P755" s="1" t="s">
        <v>6119</v>
      </c>
      <c r="Q755" s="1" t="s">
        <v>33</v>
      </c>
      <c r="R755" s="2" t="s">
        <v>4872</v>
      </c>
      <c r="S755" s="1" t="s">
        <v>6243</v>
      </c>
      <c r="T755" s="1">
        <v>4806</v>
      </c>
      <c r="U755" s="1">
        <v>4806</v>
      </c>
      <c r="V755" s="1">
        <v>4806</v>
      </c>
    </row>
    <row r="756" spans="1:56" x14ac:dyDescent="0.2">
      <c r="A756" s="1" t="s">
        <v>132</v>
      </c>
      <c r="B756" s="1">
        <v>17558408</v>
      </c>
      <c r="C756" s="1" t="s">
        <v>7420</v>
      </c>
      <c r="E756" s="21">
        <v>70</v>
      </c>
      <c r="G756" s="1" t="s">
        <v>133</v>
      </c>
      <c r="H756" s="1" t="s">
        <v>134</v>
      </c>
      <c r="I756" s="5">
        <v>39243</v>
      </c>
      <c r="J756" s="18" t="s">
        <v>11</v>
      </c>
      <c r="K756" s="1" t="s">
        <v>28</v>
      </c>
      <c r="L756" s="1" t="s">
        <v>131</v>
      </c>
      <c r="M756" s="5"/>
      <c r="N756" s="5" t="s">
        <v>10</v>
      </c>
      <c r="O756" s="5" t="s">
        <v>10</v>
      </c>
      <c r="P756" s="1" t="s">
        <v>3513</v>
      </c>
      <c r="Q756" s="1" t="s">
        <v>3940</v>
      </c>
      <c r="R756" s="2" t="s">
        <v>5808</v>
      </c>
      <c r="S756" s="1" t="s">
        <v>6243</v>
      </c>
      <c r="T756" s="1">
        <v>4680</v>
      </c>
      <c r="U756" s="1">
        <v>2200</v>
      </c>
      <c r="V756" s="1">
        <v>2200</v>
      </c>
      <c r="AH756" s="1">
        <v>2480</v>
      </c>
      <c r="AI756" s="1">
        <v>2480</v>
      </c>
    </row>
    <row r="757" spans="1:56" x14ac:dyDescent="0.2">
      <c r="A757" s="1" t="s">
        <v>135</v>
      </c>
      <c r="B757" s="1">
        <v>17587057</v>
      </c>
      <c r="C757" s="1" t="s">
        <v>7420</v>
      </c>
      <c r="E757" s="21">
        <v>6</v>
      </c>
      <c r="G757" s="1" t="s">
        <v>136</v>
      </c>
      <c r="H757" s="1" t="s">
        <v>137</v>
      </c>
      <c r="I757" s="5">
        <v>39255</v>
      </c>
      <c r="J757" s="18" t="s">
        <v>10</v>
      </c>
      <c r="K757" s="1" t="s">
        <v>595</v>
      </c>
      <c r="L757" s="1" t="s">
        <v>2804</v>
      </c>
      <c r="M757" s="5"/>
      <c r="N757" s="5" t="s">
        <v>10</v>
      </c>
      <c r="O757" s="5" t="s">
        <v>10</v>
      </c>
      <c r="P757" s="1" t="s">
        <v>3712</v>
      </c>
      <c r="Q757" s="1" t="s">
        <v>3713</v>
      </c>
      <c r="R757" s="2" t="s">
        <v>4304</v>
      </c>
      <c r="S757" s="1" t="s">
        <v>6243</v>
      </c>
      <c r="T757" s="1">
        <v>1653</v>
      </c>
      <c r="U757" s="1">
        <v>606</v>
      </c>
      <c r="V757" s="1">
        <v>606</v>
      </c>
      <c r="AH757" s="1">
        <v>1047</v>
      </c>
      <c r="AI757" s="1">
        <v>1047</v>
      </c>
    </row>
    <row r="758" spans="1:56" x14ac:dyDescent="0.2">
      <c r="A758" s="1" t="s">
        <v>168</v>
      </c>
      <c r="B758" s="1">
        <v>17603472</v>
      </c>
      <c r="C758" s="1" t="s">
        <v>7420</v>
      </c>
      <c r="E758" s="21">
        <v>14</v>
      </c>
      <c r="G758" s="1" t="s">
        <v>169</v>
      </c>
      <c r="H758" s="1" t="s">
        <v>7167</v>
      </c>
      <c r="I758" s="5">
        <v>39282</v>
      </c>
      <c r="J758" s="18" t="s">
        <v>11</v>
      </c>
      <c r="K758" s="1" t="s">
        <v>58</v>
      </c>
      <c r="L758" s="1" t="s">
        <v>167</v>
      </c>
      <c r="M758" s="5"/>
      <c r="N758" s="5" t="s">
        <v>10</v>
      </c>
      <c r="O758" s="5" t="s">
        <v>10</v>
      </c>
      <c r="P758" s="1" t="s">
        <v>3574</v>
      </c>
      <c r="Q758" s="1" t="s">
        <v>3575</v>
      </c>
      <c r="R758" s="2" t="s">
        <v>5697</v>
      </c>
      <c r="S758" s="1" t="s">
        <v>6244</v>
      </c>
      <c r="T758" s="1">
        <v>26005</v>
      </c>
      <c r="U758" s="1">
        <v>5026</v>
      </c>
      <c r="V758" s="1">
        <v>5026</v>
      </c>
      <c r="AH758" s="1">
        <v>20979</v>
      </c>
      <c r="AI758" s="1">
        <v>17810</v>
      </c>
      <c r="AK758" s="1">
        <v>3169</v>
      </c>
      <c r="AV758" s="3"/>
      <c r="AW758" s="3"/>
      <c r="AX758" s="3"/>
      <c r="AY758" s="3"/>
      <c r="AZ758" s="3"/>
      <c r="BA758" s="3"/>
      <c r="BB758" s="3"/>
      <c r="BC758" s="3"/>
      <c r="BD758" s="3"/>
    </row>
    <row r="759" spans="1:56" x14ac:dyDescent="0.2">
      <c r="A759" s="1" t="s">
        <v>80</v>
      </c>
      <c r="B759" s="1">
        <v>17603485</v>
      </c>
      <c r="C759" s="1" t="s">
        <v>7420</v>
      </c>
      <c r="E759" s="21">
        <v>7</v>
      </c>
      <c r="G759" s="1" t="s">
        <v>6919</v>
      </c>
      <c r="H759" s="1" t="s">
        <v>7391</v>
      </c>
      <c r="I759" s="5">
        <v>39264</v>
      </c>
      <c r="J759" s="18" t="s">
        <v>11</v>
      </c>
      <c r="K759" s="1" t="s">
        <v>28</v>
      </c>
      <c r="L759" s="1" t="s">
        <v>140</v>
      </c>
      <c r="M759" s="5"/>
      <c r="N759" s="5" t="s">
        <v>11</v>
      </c>
      <c r="O759" s="5" t="s">
        <v>11</v>
      </c>
      <c r="P759" s="1" t="s">
        <v>3749</v>
      </c>
      <c r="Q759" s="1" t="s">
        <v>4296</v>
      </c>
      <c r="R759" s="2" t="s">
        <v>5037</v>
      </c>
      <c r="S759" s="1" t="s">
        <v>6244</v>
      </c>
      <c r="T759" s="1">
        <v>46147</v>
      </c>
      <c r="U759" s="1">
        <v>12791</v>
      </c>
      <c r="V759" s="1">
        <v>12791</v>
      </c>
      <c r="AH759" s="1">
        <v>33356</v>
      </c>
      <c r="AI759" s="1">
        <v>28901</v>
      </c>
      <c r="AJ759" s="1">
        <v>1971</v>
      </c>
      <c r="AK759" s="1">
        <v>2484</v>
      </c>
    </row>
    <row r="760" spans="1:56" x14ac:dyDescent="0.2">
      <c r="A760" s="1" t="s">
        <v>142</v>
      </c>
      <c r="B760" s="1">
        <v>17611496</v>
      </c>
      <c r="C760" s="1" t="s">
        <v>7420</v>
      </c>
      <c r="E760" s="21">
        <v>85</v>
      </c>
      <c r="G760" s="1" t="s">
        <v>6789</v>
      </c>
      <c r="H760" s="1" t="s">
        <v>7053</v>
      </c>
      <c r="I760" s="5">
        <v>39267</v>
      </c>
      <c r="J760" s="18" t="s">
        <v>11</v>
      </c>
      <c r="K760" s="1" t="s">
        <v>58</v>
      </c>
      <c r="L760" s="1" t="s">
        <v>141</v>
      </c>
      <c r="M760" s="5"/>
      <c r="N760" s="5" t="s">
        <v>10</v>
      </c>
      <c r="O760" s="5" t="s">
        <v>10</v>
      </c>
      <c r="P760" s="1" t="s">
        <v>3459</v>
      </c>
      <c r="Q760" s="1" t="s">
        <v>4321</v>
      </c>
      <c r="R760" s="2" t="s">
        <v>4715</v>
      </c>
      <c r="S760" s="1" t="s">
        <v>6243</v>
      </c>
      <c r="T760" s="1">
        <v>7858</v>
      </c>
      <c r="U760" s="1">
        <v>2237</v>
      </c>
      <c r="V760" s="1">
        <v>2237</v>
      </c>
      <c r="AH760" s="1">
        <v>5621</v>
      </c>
      <c r="AI760" s="1">
        <v>5621</v>
      </c>
    </row>
    <row r="761" spans="1:56" x14ac:dyDescent="0.2">
      <c r="A761" s="1" t="s">
        <v>144</v>
      </c>
      <c r="B761" s="1">
        <v>17618283</v>
      </c>
      <c r="C761" s="1" t="s">
        <v>7420</v>
      </c>
      <c r="E761" s="21">
        <v>72</v>
      </c>
      <c r="G761" s="1" t="s">
        <v>145</v>
      </c>
      <c r="H761" s="1" t="s">
        <v>146</v>
      </c>
      <c r="I761" s="5">
        <v>39271</v>
      </c>
      <c r="J761" s="18" t="s">
        <v>11</v>
      </c>
      <c r="K761" s="1" t="s">
        <v>28</v>
      </c>
      <c r="L761" s="1" t="s">
        <v>143</v>
      </c>
      <c r="M761" s="5"/>
      <c r="N761" s="5" t="s">
        <v>10</v>
      </c>
      <c r="O761" s="5" t="s">
        <v>10</v>
      </c>
      <c r="P761" s="1" t="s">
        <v>3841</v>
      </c>
      <c r="Q761" s="1" t="s">
        <v>4619</v>
      </c>
      <c r="R761" s="2" t="s">
        <v>6053</v>
      </c>
      <c r="S761" s="1" t="s">
        <v>6248</v>
      </c>
      <c r="T761" s="1">
        <v>15259</v>
      </c>
      <c r="U761" s="1">
        <v>2593</v>
      </c>
      <c r="AE761" s="1">
        <v>2593</v>
      </c>
      <c r="AH761" s="1">
        <v>12666</v>
      </c>
      <c r="AR761" s="1">
        <v>12666</v>
      </c>
    </row>
    <row r="762" spans="1:56" x14ac:dyDescent="0.2">
      <c r="A762" s="1" t="s">
        <v>148</v>
      </c>
      <c r="B762" s="1">
        <v>17618284</v>
      </c>
      <c r="C762" s="1" t="s">
        <v>7420</v>
      </c>
      <c r="E762" s="21">
        <v>28</v>
      </c>
      <c r="G762" s="1" t="s">
        <v>145</v>
      </c>
      <c r="H762" s="1" t="s">
        <v>146</v>
      </c>
      <c r="I762" s="5">
        <v>39271</v>
      </c>
      <c r="J762" s="18" t="s">
        <v>11</v>
      </c>
      <c r="K762" s="1" t="s">
        <v>28</v>
      </c>
      <c r="L762" s="1" t="s">
        <v>147</v>
      </c>
      <c r="M762" s="5"/>
      <c r="N762" s="5" t="s">
        <v>10</v>
      </c>
      <c r="O762" s="5" t="s">
        <v>10</v>
      </c>
      <c r="P762" s="1" t="s">
        <v>3476</v>
      </c>
      <c r="Q762" s="1" t="s">
        <v>4713</v>
      </c>
      <c r="R762" s="2" t="s">
        <v>5819</v>
      </c>
      <c r="S762" s="1" t="s">
        <v>6243</v>
      </c>
      <c r="T762" s="1">
        <v>14470</v>
      </c>
      <c r="U762" s="1">
        <v>1890</v>
      </c>
      <c r="V762" s="1">
        <v>1890</v>
      </c>
      <c r="AH762" s="1">
        <v>12580</v>
      </c>
      <c r="AI762" s="1">
        <v>12580</v>
      </c>
    </row>
    <row r="763" spans="1:56" x14ac:dyDescent="0.2">
      <c r="A763" s="1" t="s">
        <v>150</v>
      </c>
      <c r="B763" s="1">
        <v>17632509</v>
      </c>
      <c r="C763" s="1" t="s">
        <v>7420</v>
      </c>
      <c r="E763" s="21">
        <v>250</v>
      </c>
      <c r="G763" s="1" t="s">
        <v>151</v>
      </c>
      <c r="H763" s="1" t="s">
        <v>152</v>
      </c>
      <c r="I763" s="5">
        <v>39278</v>
      </c>
      <c r="J763" s="18" t="s">
        <v>11</v>
      </c>
      <c r="K763" s="1" t="s">
        <v>28</v>
      </c>
      <c r="L763" s="1" t="s">
        <v>149</v>
      </c>
      <c r="M763" s="5"/>
      <c r="N763" s="5" t="s">
        <v>10</v>
      </c>
      <c r="O763" s="5" t="s">
        <v>10</v>
      </c>
      <c r="P763" s="1" t="s">
        <v>3819</v>
      </c>
      <c r="Q763" s="1" t="s">
        <v>3820</v>
      </c>
      <c r="R763" s="2" t="s">
        <v>5868</v>
      </c>
      <c r="S763" s="1" t="s">
        <v>6244</v>
      </c>
      <c r="T763" s="1">
        <v>3983</v>
      </c>
      <c r="U763" s="1">
        <v>640</v>
      </c>
      <c r="V763" s="1">
        <v>640</v>
      </c>
      <c r="AH763" s="1">
        <v>3343</v>
      </c>
      <c r="AI763" s="1">
        <v>3009</v>
      </c>
      <c r="AM763" s="1">
        <v>334</v>
      </c>
    </row>
    <row r="764" spans="1:56" x14ac:dyDescent="0.2">
      <c r="A764" s="1" t="s">
        <v>154</v>
      </c>
      <c r="B764" s="1">
        <v>17632545</v>
      </c>
      <c r="C764" s="1" t="s">
        <v>7420</v>
      </c>
      <c r="E764" s="21">
        <v>376</v>
      </c>
      <c r="G764" s="1" t="s">
        <v>155</v>
      </c>
      <c r="H764" s="1" t="s">
        <v>7400</v>
      </c>
      <c r="I764" s="5">
        <v>39278</v>
      </c>
      <c r="J764" s="18" t="s">
        <v>11</v>
      </c>
      <c r="K764" s="1" t="s">
        <v>58</v>
      </c>
      <c r="L764" s="1" t="s">
        <v>153</v>
      </c>
      <c r="M764" s="5"/>
      <c r="N764" s="5" t="s">
        <v>10</v>
      </c>
      <c r="O764" s="5" t="s">
        <v>10</v>
      </c>
      <c r="P764" s="1" t="s">
        <v>3614</v>
      </c>
      <c r="Q764" s="1" t="s">
        <v>4149</v>
      </c>
      <c r="R764" s="2" t="s">
        <v>5694</v>
      </c>
      <c r="S764" s="1" t="s">
        <v>6243</v>
      </c>
      <c r="T764" s="1">
        <v>6625</v>
      </c>
      <c r="U764" s="1">
        <v>3105</v>
      </c>
      <c r="V764" s="1">
        <v>3105</v>
      </c>
      <c r="AH764" s="1">
        <v>3520</v>
      </c>
      <c r="AI764" s="1">
        <v>3520</v>
      </c>
    </row>
    <row r="765" spans="1:56" x14ac:dyDescent="0.2">
      <c r="A765" s="1" t="s">
        <v>159</v>
      </c>
      <c r="B765" s="1">
        <v>17634447</v>
      </c>
      <c r="C765" s="1" t="s">
        <v>7420</v>
      </c>
      <c r="E765" s="21">
        <v>14</v>
      </c>
      <c r="G765" s="1" t="s">
        <v>2560</v>
      </c>
      <c r="H765" s="1" t="s">
        <v>160</v>
      </c>
      <c r="I765" s="5">
        <v>39281</v>
      </c>
      <c r="J765" s="18" t="s">
        <v>11</v>
      </c>
      <c r="K765" s="1" t="s">
        <v>157</v>
      </c>
      <c r="L765" s="1" t="s">
        <v>158</v>
      </c>
      <c r="M765" s="5"/>
      <c r="N765" s="5" t="s">
        <v>10</v>
      </c>
      <c r="O765" s="5" t="s">
        <v>10</v>
      </c>
      <c r="P765" s="1" t="s">
        <v>3796</v>
      </c>
      <c r="Q765" s="1" t="s">
        <v>3918</v>
      </c>
      <c r="R765" s="2" t="s">
        <v>5749</v>
      </c>
      <c r="S765" s="1" t="s">
        <v>6243</v>
      </c>
      <c r="T765" s="1">
        <v>18176</v>
      </c>
      <c r="U765" s="1">
        <v>15970</v>
      </c>
      <c r="V765" s="1">
        <v>15970</v>
      </c>
      <c r="AH765" s="1">
        <v>2206</v>
      </c>
      <c r="AI765" s="1">
        <v>2206</v>
      </c>
    </row>
    <row r="766" spans="1:56" x14ac:dyDescent="0.2">
      <c r="A766" s="1" t="s">
        <v>164</v>
      </c>
      <c r="B766" s="1">
        <v>17634449</v>
      </c>
      <c r="C766" s="1" t="s">
        <v>7420</v>
      </c>
      <c r="E766" s="21">
        <v>1042</v>
      </c>
      <c r="G766" s="1" t="s">
        <v>165</v>
      </c>
      <c r="H766" s="1" t="s">
        <v>7192</v>
      </c>
      <c r="I766" s="5">
        <v>39281</v>
      </c>
      <c r="J766" s="18" t="s">
        <v>11</v>
      </c>
      <c r="K766" s="1" t="s">
        <v>157</v>
      </c>
      <c r="L766" s="1" t="s">
        <v>163</v>
      </c>
      <c r="M766" s="5"/>
      <c r="N766" s="5" t="s">
        <v>10</v>
      </c>
      <c r="O766" s="5" t="s">
        <v>10</v>
      </c>
      <c r="P766" s="1" t="s">
        <v>5622</v>
      </c>
      <c r="Q766" s="1" t="s">
        <v>5623</v>
      </c>
      <c r="R766" s="2" t="s">
        <v>4699</v>
      </c>
      <c r="S766" s="1" t="s">
        <v>6243</v>
      </c>
      <c r="T766" s="1">
        <v>7383</v>
      </c>
      <c r="U766" s="1">
        <v>4864</v>
      </c>
      <c r="V766" s="1">
        <v>4864</v>
      </c>
      <c r="AH766" s="1">
        <v>2519</v>
      </c>
      <c r="AI766" s="1">
        <v>2519</v>
      </c>
    </row>
    <row r="767" spans="1:56" x14ac:dyDescent="0.2">
      <c r="A767" s="1" t="s">
        <v>162</v>
      </c>
      <c r="B767" s="1">
        <v>17637780</v>
      </c>
      <c r="C767" s="1" t="s">
        <v>7420</v>
      </c>
      <c r="E767" s="21">
        <v>23</v>
      </c>
      <c r="G767" s="1" t="s">
        <v>2560</v>
      </c>
      <c r="H767" s="1" t="s">
        <v>160</v>
      </c>
      <c r="I767" s="5">
        <v>39281</v>
      </c>
      <c r="J767" s="18" t="s">
        <v>11</v>
      </c>
      <c r="K767" s="1" t="s">
        <v>28</v>
      </c>
      <c r="L767" s="1" t="s">
        <v>161</v>
      </c>
      <c r="M767" s="5"/>
      <c r="N767" s="5" t="s">
        <v>10</v>
      </c>
      <c r="O767" s="5" t="s">
        <v>10</v>
      </c>
      <c r="P767" s="1" t="s">
        <v>3647</v>
      </c>
      <c r="Q767" s="1" t="s">
        <v>3926</v>
      </c>
      <c r="R767" s="2" t="s">
        <v>5881</v>
      </c>
      <c r="S767" s="1" t="s">
        <v>6243</v>
      </c>
      <c r="T767" s="1">
        <v>4381</v>
      </c>
      <c r="U767" s="1">
        <v>2045</v>
      </c>
      <c r="V767" s="1">
        <v>2045</v>
      </c>
      <c r="AH767" s="1">
        <v>2336</v>
      </c>
      <c r="AI767" s="1">
        <v>2336</v>
      </c>
    </row>
    <row r="768" spans="1:56" x14ac:dyDescent="0.2">
      <c r="A768" s="1" t="s">
        <v>190</v>
      </c>
      <c r="B768" s="1">
        <v>17641165</v>
      </c>
      <c r="C768" s="1" t="s">
        <v>7420</v>
      </c>
      <c r="E768" s="21">
        <v>667</v>
      </c>
      <c r="G768" s="1" t="s">
        <v>6845</v>
      </c>
      <c r="H768" s="1" t="s">
        <v>7173</v>
      </c>
      <c r="I768" s="5">
        <v>39311</v>
      </c>
      <c r="J768" s="18" t="s">
        <v>11</v>
      </c>
      <c r="K768" s="1" t="s">
        <v>25</v>
      </c>
      <c r="L768" s="1" t="s">
        <v>189</v>
      </c>
      <c r="M768" s="5"/>
      <c r="N768" s="5" t="s">
        <v>10</v>
      </c>
      <c r="O768" s="5" t="s">
        <v>10</v>
      </c>
      <c r="P768" s="1" t="s">
        <v>3604</v>
      </c>
      <c r="Q768" s="1" t="s">
        <v>3603</v>
      </c>
      <c r="R768" s="2" t="s">
        <v>5771</v>
      </c>
      <c r="S768" s="1" t="s">
        <v>6243</v>
      </c>
      <c r="T768" s="1">
        <v>626</v>
      </c>
      <c r="U768" s="1">
        <v>486</v>
      </c>
      <c r="V768" s="1">
        <v>486</v>
      </c>
      <c r="AH768" s="1">
        <v>140</v>
      </c>
      <c r="AI768" s="1">
        <v>140</v>
      </c>
    </row>
    <row r="769" spans="1:44" x14ac:dyDescent="0.2">
      <c r="A769" s="1" t="s">
        <v>171</v>
      </c>
      <c r="B769" s="1">
        <v>17658951</v>
      </c>
      <c r="C769" s="1" t="s">
        <v>7420</v>
      </c>
      <c r="E769" s="21">
        <v>55</v>
      </c>
      <c r="G769" s="1" t="s">
        <v>6884</v>
      </c>
      <c r="H769" s="1" t="s">
        <v>7229</v>
      </c>
      <c r="I769" s="5">
        <v>39283</v>
      </c>
      <c r="J769" s="18" t="s">
        <v>11</v>
      </c>
      <c r="K769" s="1" t="s">
        <v>65</v>
      </c>
      <c r="L769" s="1" t="s">
        <v>170</v>
      </c>
      <c r="M769" s="5"/>
      <c r="N769" s="5" t="s">
        <v>10</v>
      </c>
      <c r="O769" s="5" t="s">
        <v>10</v>
      </c>
      <c r="P769" s="1" t="s">
        <v>3610</v>
      </c>
      <c r="Q769" s="1" t="s">
        <v>3611</v>
      </c>
      <c r="R769" s="2" t="s">
        <v>4145</v>
      </c>
      <c r="S769" s="1" t="s">
        <v>6244</v>
      </c>
      <c r="T769" s="1">
        <v>8177</v>
      </c>
      <c r="U769" s="1">
        <v>4741</v>
      </c>
      <c r="V769" s="1">
        <v>4741</v>
      </c>
      <c r="AH769" s="1">
        <v>3436</v>
      </c>
      <c r="AI769" s="1">
        <v>1496</v>
      </c>
      <c r="AJ769" s="1">
        <v>1101</v>
      </c>
      <c r="AM769" s="1">
        <v>839</v>
      </c>
    </row>
    <row r="770" spans="1:44" x14ac:dyDescent="0.2">
      <c r="A770" s="1" t="s">
        <v>174</v>
      </c>
      <c r="B770" s="1">
        <v>17660530</v>
      </c>
      <c r="C770" s="1" t="s">
        <v>7420</v>
      </c>
      <c r="E770" s="21">
        <v>437</v>
      </c>
      <c r="G770" s="1" t="s">
        <v>175</v>
      </c>
      <c r="H770" s="1" t="s">
        <v>7402</v>
      </c>
      <c r="I770" s="5">
        <v>39292</v>
      </c>
      <c r="J770" s="18" t="s">
        <v>11</v>
      </c>
      <c r="K770" s="1" t="s">
        <v>157</v>
      </c>
      <c r="L770" s="1" t="s">
        <v>173</v>
      </c>
      <c r="M770" s="5"/>
      <c r="N770" s="5" t="s">
        <v>10</v>
      </c>
      <c r="O770" s="5" t="s">
        <v>10</v>
      </c>
      <c r="P770" s="1" t="s">
        <v>3473</v>
      </c>
      <c r="Q770" s="1" t="s">
        <v>4161</v>
      </c>
      <c r="R770" s="2" t="s">
        <v>5867</v>
      </c>
      <c r="S770" s="1" t="s">
        <v>6243</v>
      </c>
      <c r="T770" s="1">
        <v>12360</v>
      </c>
      <c r="U770" s="1">
        <v>5224</v>
      </c>
      <c r="V770" s="1">
        <v>5224</v>
      </c>
      <c r="AH770" s="1">
        <v>7136</v>
      </c>
      <c r="AI770" s="1">
        <v>7136</v>
      </c>
    </row>
    <row r="771" spans="1:44" x14ac:dyDescent="0.2">
      <c r="A771" s="1" t="s">
        <v>177</v>
      </c>
      <c r="B771" s="1">
        <v>17667963</v>
      </c>
      <c r="C771" s="1" t="s">
        <v>7420</v>
      </c>
      <c r="E771" s="21">
        <v>20</v>
      </c>
      <c r="G771" s="1" t="s">
        <v>178</v>
      </c>
      <c r="H771" s="1" t="s">
        <v>179</v>
      </c>
      <c r="I771" s="5">
        <v>39294</v>
      </c>
      <c r="J771" s="18" t="s">
        <v>11</v>
      </c>
      <c r="K771" s="1" t="s">
        <v>71</v>
      </c>
      <c r="L771" s="1" t="s">
        <v>176</v>
      </c>
      <c r="M771" s="5"/>
      <c r="N771" s="5" t="s">
        <v>10</v>
      </c>
      <c r="O771" s="5" t="s">
        <v>10</v>
      </c>
      <c r="P771" s="1" t="s">
        <v>3717</v>
      </c>
      <c r="Q771" s="1" t="s">
        <v>3718</v>
      </c>
      <c r="R771" s="2" t="s">
        <v>5833</v>
      </c>
      <c r="S771" s="1" t="s">
        <v>6243</v>
      </c>
      <c r="T771" s="1">
        <v>3587</v>
      </c>
      <c r="U771" s="1">
        <v>2054</v>
      </c>
      <c r="V771" s="1">
        <v>2054</v>
      </c>
      <c r="AH771" s="1">
        <v>1533</v>
      </c>
      <c r="AI771" s="1">
        <v>1533</v>
      </c>
    </row>
    <row r="772" spans="1:44" x14ac:dyDescent="0.2">
      <c r="A772" s="1" t="s">
        <v>139</v>
      </c>
      <c r="B772" s="1">
        <v>17668382</v>
      </c>
      <c r="C772" s="1" t="s">
        <v>7420</v>
      </c>
      <c r="E772" s="21">
        <v>15</v>
      </c>
      <c r="G772" s="1" t="s">
        <v>61</v>
      </c>
      <c r="H772" s="1" t="s">
        <v>7396</v>
      </c>
      <c r="I772" s="5">
        <v>39259</v>
      </c>
      <c r="J772" s="18" t="s">
        <v>11</v>
      </c>
      <c r="K772" s="1" t="s">
        <v>16</v>
      </c>
      <c r="L772" s="1" t="s">
        <v>138</v>
      </c>
      <c r="M772" s="5"/>
      <c r="N772" s="5" t="s">
        <v>10</v>
      </c>
      <c r="O772" s="5" t="s">
        <v>10</v>
      </c>
      <c r="P772" s="1" t="s">
        <v>3596</v>
      </c>
      <c r="Q772" s="1" t="s">
        <v>4151</v>
      </c>
      <c r="R772" s="2" t="s">
        <v>6027</v>
      </c>
      <c r="S772" s="1" t="s">
        <v>6243</v>
      </c>
      <c r="T772" s="1">
        <v>6346</v>
      </c>
      <c r="U772" s="1">
        <v>997</v>
      </c>
      <c r="V772" s="1">
        <v>997</v>
      </c>
      <c r="AH772" s="1">
        <v>5349</v>
      </c>
      <c r="AI772" s="1">
        <v>5349</v>
      </c>
    </row>
    <row r="773" spans="1:44" x14ac:dyDescent="0.2">
      <c r="A773" s="1" t="s">
        <v>192</v>
      </c>
      <c r="B773" s="1">
        <v>17671248</v>
      </c>
      <c r="C773" s="1" t="s">
        <v>7420</v>
      </c>
      <c r="E773" s="21">
        <v>137</v>
      </c>
      <c r="G773" s="1" t="s">
        <v>193</v>
      </c>
      <c r="H773" s="1" t="s">
        <v>7142</v>
      </c>
      <c r="I773" s="5">
        <v>39317</v>
      </c>
      <c r="J773" s="18" t="s">
        <v>11</v>
      </c>
      <c r="K773" s="1" t="s">
        <v>157</v>
      </c>
      <c r="L773" s="1" t="s">
        <v>191</v>
      </c>
      <c r="M773" s="5"/>
      <c r="N773" s="5" t="s">
        <v>10</v>
      </c>
      <c r="O773" s="5" t="s">
        <v>10</v>
      </c>
      <c r="P773" s="1" t="s">
        <v>3669</v>
      </c>
      <c r="Q773" s="1" t="s">
        <v>6418</v>
      </c>
      <c r="R773" s="2" t="s">
        <v>6014</v>
      </c>
      <c r="S773" s="1" t="s">
        <v>6389</v>
      </c>
      <c r="T773" s="1">
        <v>2854</v>
      </c>
      <c r="U773" s="1">
        <v>928</v>
      </c>
      <c r="V773" s="1">
        <v>928</v>
      </c>
      <c r="AH773" s="1">
        <v>1926</v>
      </c>
      <c r="AI773" s="1">
        <v>1598</v>
      </c>
      <c r="AR773" s="1">
        <v>328</v>
      </c>
    </row>
    <row r="774" spans="1:44" x14ac:dyDescent="0.2">
      <c r="A774" s="1" t="s">
        <v>2640</v>
      </c>
      <c r="B774" s="1">
        <v>17671797</v>
      </c>
      <c r="C774" s="1" t="s">
        <v>7420</v>
      </c>
      <c r="E774" s="21">
        <v>8</v>
      </c>
      <c r="G774" s="1" t="s">
        <v>6876</v>
      </c>
      <c r="H774" s="1" t="s">
        <v>7390</v>
      </c>
      <c r="I774" s="5">
        <v>39296</v>
      </c>
      <c r="J774" s="18" t="s">
        <v>10</v>
      </c>
      <c r="K774" s="1" t="s">
        <v>595</v>
      </c>
      <c r="L774" s="1" t="s">
        <v>2805</v>
      </c>
      <c r="N774" s="5" t="s">
        <v>10</v>
      </c>
      <c r="O774" s="5" t="s">
        <v>10</v>
      </c>
      <c r="P774" s="1" t="s">
        <v>3057</v>
      </c>
      <c r="Q774" s="1" t="s">
        <v>6250</v>
      </c>
      <c r="R774" s="2" t="s">
        <v>3056</v>
      </c>
      <c r="S774" s="1" t="s">
        <v>6244</v>
      </c>
      <c r="T774" s="1">
        <v>1763</v>
      </c>
      <c r="U774" s="1">
        <v>931</v>
      </c>
      <c r="X774" s="1">
        <v>931</v>
      </c>
      <c r="AH774" s="1">
        <v>832</v>
      </c>
      <c r="AI774" s="1">
        <v>155</v>
      </c>
      <c r="AK774" s="1">
        <v>677</v>
      </c>
    </row>
    <row r="775" spans="1:44" x14ac:dyDescent="0.2">
      <c r="A775" s="1" t="s">
        <v>2339</v>
      </c>
      <c r="B775" s="1">
        <v>17684495</v>
      </c>
      <c r="C775" s="1" t="s">
        <v>7420</v>
      </c>
      <c r="E775" s="21">
        <v>301</v>
      </c>
      <c r="G775" s="1" t="s">
        <v>6630</v>
      </c>
      <c r="H775" s="1" t="s">
        <v>1108</v>
      </c>
      <c r="I775" s="5">
        <v>39301</v>
      </c>
      <c r="J775" s="18" t="s">
        <v>10</v>
      </c>
      <c r="K775" s="1" t="s">
        <v>71</v>
      </c>
      <c r="L775" s="1" t="s">
        <v>2806</v>
      </c>
      <c r="M775" s="5"/>
      <c r="N775" s="5" t="s">
        <v>10</v>
      </c>
      <c r="O775" s="5" t="s">
        <v>10</v>
      </c>
      <c r="P775" s="1" t="s">
        <v>3517</v>
      </c>
      <c r="Q775" s="1" t="s">
        <v>3518</v>
      </c>
      <c r="R775" s="2" t="s">
        <v>4711</v>
      </c>
      <c r="S775" s="1" t="s">
        <v>6248</v>
      </c>
      <c r="T775" s="1">
        <v>5814</v>
      </c>
      <c r="U775" s="1">
        <v>1502</v>
      </c>
      <c r="AE775" s="1">
        <v>1502</v>
      </c>
      <c r="AH775" s="1">
        <v>4312</v>
      </c>
      <c r="AR775" s="1">
        <v>4312</v>
      </c>
    </row>
    <row r="776" spans="1:44" x14ac:dyDescent="0.2">
      <c r="A776" s="1" t="s">
        <v>183</v>
      </c>
      <c r="B776" s="1">
        <v>17684544</v>
      </c>
      <c r="C776" s="1" t="s">
        <v>7420</v>
      </c>
      <c r="E776" s="21">
        <v>274</v>
      </c>
      <c r="G776" s="1" t="s">
        <v>21</v>
      </c>
      <c r="H776" s="1" t="s">
        <v>22</v>
      </c>
      <c r="I776" s="5">
        <v>39302</v>
      </c>
      <c r="J776" s="18" t="s">
        <v>11</v>
      </c>
      <c r="K776" s="1" t="s">
        <v>181</v>
      </c>
      <c r="L776" s="1" t="s">
        <v>182</v>
      </c>
      <c r="M776" s="5"/>
      <c r="N776" s="5" t="s">
        <v>10</v>
      </c>
      <c r="O776" s="5" t="s">
        <v>10</v>
      </c>
      <c r="P776" s="1" t="s">
        <v>3665</v>
      </c>
      <c r="Q776" s="1" t="s">
        <v>4142</v>
      </c>
      <c r="R776" s="2" t="s">
        <v>5879</v>
      </c>
      <c r="S776" s="1" t="s">
        <v>6243</v>
      </c>
      <c r="T776" s="1">
        <v>9417</v>
      </c>
      <c r="U776" s="1">
        <v>792</v>
      </c>
      <c r="V776" s="1">
        <v>792</v>
      </c>
      <c r="AH776" s="1">
        <v>8625</v>
      </c>
      <c r="AI776" s="1">
        <v>8625</v>
      </c>
    </row>
    <row r="777" spans="1:44" x14ac:dyDescent="0.2">
      <c r="A777" s="1" t="s">
        <v>186</v>
      </c>
      <c r="B777" s="1">
        <v>17690259</v>
      </c>
      <c r="C777" s="1" t="s">
        <v>7420</v>
      </c>
      <c r="E777" s="21">
        <v>28</v>
      </c>
      <c r="G777" s="1" t="s">
        <v>187</v>
      </c>
      <c r="H777" s="1" t="s">
        <v>1414</v>
      </c>
      <c r="I777" s="5">
        <v>39303</v>
      </c>
      <c r="J777" s="18" t="s">
        <v>11</v>
      </c>
      <c r="K777" s="1" t="s">
        <v>25</v>
      </c>
      <c r="L777" s="1" t="s">
        <v>185</v>
      </c>
      <c r="M777" s="5"/>
      <c r="N777" s="5" t="s">
        <v>10</v>
      </c>
      <c r="O777" s="5" t="s">
        <v>10</v>
      </c>
      <c r="P777" s="1" t="s">
        <v>3523</v>
      </c>
      <c r="Q777" s="1" t="s">
        <v>3524</v>
      </c>
      <c r="R777" s="2" t="s">
        <v>6026</v>
      </c>
      <c r="S777" s="1" t="s">
        <v>6243</v>
      </c>
      <c r="T777" s="1">
        <v>15001</v>
      </c>
      <c r="U777" s="1">
        <v>14549</v>
      </c>
      <c r="V777" s="1">
        <v>14549</v>
      </c>
      <c r="AH777" s="1">
        <v>452</v>
      </c>
      <c r="AI777" s="1">
        <v>452</v>
      </c>
    </row>
    <row r="778" spans="1:44" x14ac:dyDescent="0.2">
      <c r="A778" s="1" t="s">
        <v>1799</v>
      </c>
      <c r="B778" s="1">
        <v>17701890</v>
      </c>
      <c r="C778" s="1" t="s">
        <v>7420</v>
      </c>
      <c r="E778" s="21">
        <v>349</v>
      </c>
      <c r="F778" s="17">
        <v>1</v>
      </c>
      <c r="G778" s="1" t="s">
        <v>6794</v>
      </c>
      <c r="H778" s="1" t="s">
        <v>7342</v>
      </c>
      <c r="I778" s="5">
        <v>39295</v>
      </c>
      <c r="J778" s="18" t="s">
        <v>10</v>
      </c>
      <c r="K778" s="1" t="s">
        <v>16</v>
      </c>
      <c r="L778" s="1" t="s">
        <v>2807</v>
      </c>
      <c r="M778" s="5"/>
      <c r="N778" s="5" t="s">
        <v>10</v>
      </c>
      <c r="O778" s="5" t="s">
        <v>10</v>
      </c>
      <c r="P778" s="1" t="s">
        <v>5482</v>
      </c>
      <c r="Q778" s="1" t="s">
        <v>33</v>
      </c>
      <c r="R778" s="2" t="s">
        <v>3025</v>
      </c>
      <c r="S778" s="1" t="s">
        <v>6244</v>
      </c>
      <c r="T778" s="1">
        <v>175</v>
      </c>
      <c r="U778" s="1">
        <v>175</v>
      </c>
      <c r="V778" s="1">
        <v>86</v>
      </c>
      <c r="W778" s="1">
        <v>89</v>
      </c>
    </row>
    <row r="779" spans="1:44" x14ac:dyDescent="0.2">
      <c r="A779" s="1" t="s">
        <v>196</v>
      </c>
      <c r="B779" s="1">
        <v>17767157</v>
      </c>
      <c r="C779" s="1" t="s">
        <v>7420</v>
      </c>
      <c r="E779" s="21">
        <v>5</v>
      </c>
      <c r="G779" s="1" t="s">
        <v>197</v>
      </c>
      <c r="H779" s="1" t="s">
        <v>7270</v>
      </c>
      <c r="I779" s="5">
        <v>39327</v>
      </c>
      <c r="J779" s="18" t="s">
        <v>11</v>
      </c>
      <c r="K779" s="1" t="s">
        <v>28</v>
      </c>
      <c r="L779" s="1" t="s">
        <v>195</v>
      </c>
      <c r="M779" s="5"/>
      <c r="N779" s="5" t="s">
        <v>10</v>
      </c>
      <c r="O779" s="5" t="s">
        <v>10</v>
      </c>
      <c r="P779" s="1" t="s">
        <v>3598</v>
      </c>
      <c r="Q779" s="1" t="s">
        <v>4883</v>
      </c>
      <c r="R779" s="2" t="s">
        <v>4417</v>
      </c>
      <c r="S779" s="1" t="s">
        <v>6243</v>
      </c>
      <c r="T779" s="1">
        <v>34019</v>
      </c>
      <c r="U779" s="1">
        <v>4921</v>
      </c>
      <c r="V779" s="1">
        <v>4921</v>
      </c>
      <c r="AH779" s="1">
        <v>29098</v>
      </c>
      <c r="AI779" s="1">
        <v>29098</v>
      </c>
    </row>
    <row r="780" spans="1:44" x14ac:dyDescent="0.2">
      <c r="A780" s="1" t="s">
        <v>199</v>
      </c>
      <c r="B780" s="1">
        <v>17767159</v>
      </c>
      <c r="C780" s="1" t="s">
        <v>7420</v>
      </c>
      <c r="E780" s="21">
        <v>101</v>
      </c>
      <c r="G780" s="1" t="s">
        <v>6763</v>
      </c>
      <c r="H780" s="1" t="s">
        <v>7219</v>
      </c>
      <c r="I780" s="5">
        <v>39327</v>
      </c>
      <c r="J780" s="18" t="s">
        <v>11</v>
      </c>
      <c r="K780" s="1" t="s">
        <v>28</v>
      </c>
      <c r="L780" s="1" t="s">
        <v>198</v>
      </c>
      <c r="M780" s="5"/>
      <c r="N780" s="5" t="s">
        <v>10</v>
      </c>
      <c r="O780" s="5" t="s">
        <v>10</v>
      </c>
      <c r="P780" s="1" t="s">
        <v>5616</v>
      </c>
      <c r="Q780" s="1" t="s">
        <v>5617</v>
      </c>
      <c r="R780" s="2" t="s">
        <v>4786</v>
      </c>
      <c r="S780" s="1" t="s">
        <v>6243</v>
      </c>
      <c r="T780" s="1">
        <v>269</v>
      </c>
      <c r="U780" s="1">
        <v>179</v>
      </c>
      <c r="V780" s="1">
        <v>179</v>
      </c>
      <c r="AH780" s="1">
        <v>90</v>
      </c>
      <c r="AI780" s="1">
        <v>90</v>
      </c>
    </row>
    <row r="781" spans="1:44" x14ac:dyDescent="0.2">
      <c r="A781" s="1" t="s">
        <v>212</v>
      </c>
      <c r="B781" s="1">
        <v>17804789</v>
      </c>
      <c r="C781" s="1" t="s">
        <v>7420</v>
      </c>
      <c r="E781" s="21">
        <v>303</v>
      </c>
      <c r="G781" s="1" t="s">
        <v>21</v>
      </c>
      <c r="H781" s="1" t="s">
        <v>22</v>
      </c>
      <c r="I781" s="5">
        <v>39336</v>
      </c>
      <c r="J781" s="18" t="s">
        <v>11</v>
      </c>
      <c r="K781" s="1" t="s">
        <v>210</v>
      </c>
      <c r="L781" s="1" t="s">
        <v>211</v>
      </c>
      <c r="M781" s="5"/>
      <c r="N781" s="5" t="s">
        <v>10</v>
      </c>
      <c r="O781" s="5" t="s">
        <v>10</v>
      </c>
      <c r="P781" s="1" t="s">
        <v>3674</v>
      </c>
      <c r="Q781" s="1" t="s">
        <v>3673</v>
      </c>
      <c r="R781" s="2" t="s">
        <v>4415</v>
      </c>
      <c r="S781" s="1" t="s">
        <v>6243</v>
      </c>
      <c r="T781" s="1">
        <v>4287</v>
      </c>
      <c r="U781" s="1">
        <v>1146</v>
      </c>
      <c r="V781" s="1">
        <v>1146</v>
      </c>
      <c r="AH781" s="1">
        <v>3141</v>
      </c>
      <c r="AI781" s="1">
        <v>3141</v>
      </c>
    </row>
    <row r="782" spans="1:44" x14ac:dyDescent="0.2">
      <c r="A782" s="1" t="s">
        <v>201</v>
      </c>
      <c r="B782" s="1">
        <v>17804836</v>
      </c>
      <c r="C782" s="1" t="s">
        <v>7420</v>
      </c>
      <c r="E782" s="21">
        <v>527</v>
      </c>
      <c r="G782" s="1" t="s">
        <v>48</v>
      </c>
      <c r="H782" s="1" t="s">
        <v>7340</v>
      </c>
      <c r="I782" s="5">
        <v>39330</v>
      </c>
      <c r="J782" s="18" t="s">
        <v>11</v>
      </c>
      <c r="K782" s="1" t="s">
        <v>157</v>
      </c>
      <c r="L782" s="1" t="s">
        <v>200</v>
      </c>
      <c r="M782" s="5"/>
      <c r="N782" s="5" t="s">
        <v>10</v>
      </c>
      <c r="O782" s="5" t="s">
        <v>10</v>
      </c>
      <c r="P782" s="1" t="s">
        <v>5668</v>
      </c>
      <c r="Q782" s="1" t="s">
        <v>5669</v>
      </c>
      <c r="R782" s="2" t="s">
        <v>4698</v>
      </c>
      <c r="S782" s="1" t="s">
        <v>6243</v>
      </c>
      <c r="T782" s="1">
        <v>6235</v>
      </c>
      <c r="U782" s="1">
        <v>3324</v>
      </c>
      <c r="V782" s="1">
        <v>3324</v>
      </c>
      <c r="AH782" s="1">
        <v>2911</v>
      </c>
      <c r="AI782" s="1">
        <v>2911</v>
      </c>
    </row>
    <row r="783" spans="1:44" x14ac:dyDescent="0.2">
      <c r="A783" s="1" t="s">
        <v>203</v>
      </c>
      <c r="B783" s="1">
        <v>17827064</v>
      </c>
      <c r="C783" s="1" t="s">
        <v>7420</v>
      </c>
      <c r="E783" s="21">
        <v>349</v>
      </c>
      <c r="G783" s="1" t="s">
        <v>57</v>
      </c>
      <c r="H783" s="1" t="s">
        <v>7142</v>
      </c>
      <c r="I783" s="5">
        <v>39332</v>
      </c>
      <c r="J783" s="18" t="s">
        <v>11</v>
      </c>
      <c r="K783" s="1" t="s">
        <v>31</v>
      </c>
      <c r="L783" s="1" t="s">
        <v>202</v>
      </c>
      <c r="M783" s="5"/>
      <c r="N783" s="5" t="s">
        <v>10</v>
      </c>
      <c r="O783" s="5" t="s">
        <v>10</v>
      </c>
      <c r="P783" s="1" t="s">
        <v>3529</v>
      </c>
      <c r="Q783" s="1" t="s">
        <v>3530</v>
      </c>
      <c r="R783" s="2" t="s">
        <v>5804</v>
      </c>
      <c r="S783" s="1" t="s">
        <v>6243</v>
      </c>
      <c r="T783" s="1">
        <v>3683</v>
      </c>
      <c r="U783" s="1">
        <v>1458</v>
      </c>
      <c r="V783" s="1">
        <v>1458</v>
      </c>
      <c r="AH783" s="1">
        <v>2225</v>
      </c>
      <c r="AI783" s="1">
        <v>2225</v>
      </c>
    </row>
    <row r="784" spans="1:44" x14ac:dyDescent="0.2">
      <c r="A784" s="1" t="s">
        <v>207</v>
      </c>
      <c r="B784" s="1">
        <v>17846124</v>
      </c>
      <c r="C784" s="1" t="s">
        <v>7420</v>
      </c>
      <c r="E784" s="21">
        <v>194</v>
      </c>
      <c r="G784" s="1" t="s">
        <v>61</v>
      </c>
      <c r="H784" s="1" t="s">
        <v>7396</v>
      </c>
      <c r="I784" s="5">
        <v>39335</v>
      </c>
      <c r="J784" s="18" t="s">
        <v>11</v>
      </c>
      <c r="K784" s="1" t="s">
        <v>90</v>
      </c>
      <c r="L784" s="1" t="s">
        <v>205</v>
      </c>
      <c r="M784" s="5"/>
      <c r="N784" s="5" t="s">
        <v>10</v>
      </c>
      <c r="O784" s="5" t="s">
        <v>10</v>
      </c>
      <c r="P784" s="1" t="s">
        <v>206</v>
      </c>
      <c r="Q784" s="1" t="s">
        <v>5598</v>
      </c>
      <c r="R784" s="2" t="s">
        <v>5869</v>
      </c>
      <c r="S784" s="1" t="s">
        <v>6244</v>
      </c>
      <c r="T784" s="1">
        <v>2862</v>
      </c>
      <c r="U784" s="1">
        <v>461</v>
      </c>
      <c r="Z784" s="1">
        <v>461</v>
      </c>
      <c r="AH784" s="1">
        <v>2401</v>
      </c>
      <c r="AI784" s="1">
        <v>1506</v>
      </c>
      <c r="AN784" s="1">
        <v>895</v>
      </c>
    </row>
    <row r="785" spans="1:44" x14ac:dyDescent="0.2">
      <c r="A785" s="1" t="s">
        <v>92</v>
      </c>
      <c r="B785" s="1">
        <v>17846125</v>
      </c>
      <c r="C785" s="1" t="s">
        <v>7420</v>
      </c>
      <c r="E785" s="21">
        <v>154</v>
      </c>
      <c r="G785" s="1" t="s">
        <v>61</v>
      </c>
      <c r="H785" s="1" t="s">
        <v>7396</v>
      </c>
      <c r="I785" s="5">
        <v>39335</v>
      </c>
      <c r="J785" s="18" t="s">
        <v>11</v>
      </c>
      <c r="K785" s="1" t="s">
        <v>90</v>
      </c>
      <c r="L785" s="1" t="s">
        <v>204</v>
      </c>
      <c r="M785" s="5"/>
      <c r="N785" s="5" t="s">
        <v>10</v>
      </c>
      <c r="O785" s="5" t="s">
        <v>10</v>
      </c>
      <c r="P785" s="1" t="s">
        <v>3801</v>
      </c>
      <c r="Q785" s="1" t="s">
        <v>3917</v>
      </c>
      <c r="R785" s="2" t="s">
        <v>5871</v>
      </c>
      <c r="S785" s="1" t="s">
        <v>6246</v>
      </c>
      <c r="T785" s="1">
        <v>3729</v>
      </c>
      <c r="U785" s="1">
        <v>895</v>
      </c>
      <c r="AA785" s="1">
        <v>895</v>
      </c>
      <c r="AH785" s="1">
        <v>2834</v>
      </c>
      <c r="AN785" s="1">
        <v>2834</v>
      </c>
    </row>
    <row r="786" spans="1:44" x14ac:dyDescent="0.2">
      <c r="A786" s="1" t="s">
        <v>209</v>
      </c>
      <c r="B786" s="1">
        <v>17846126</v>
      </c>
      <c r="C786" s="1" t="s">
        <v>7420</v>
      </c>
      <c r="E786" s="21">
        <v>228</v>
      </c>
      <c r="G786" s="1" t="s">
        <v>61</v>
      </c>
      <c r="H786" s="1" t="s">
        <v>7396</v>
      </c>
      <c r="I786" s="5">
        <v>39335</v>
      </c>
      <c r="J786" s="18" t="s">
        <v>11</v>
      </c>
      <c r="K786" s="1" t="s">
        <v>90</v>
      </c>
      <c r="L786" s="1" t="s">
        <v>208</v>
      </c>
      <c r="M786" s="5"/>
      <c r="N786" s="5" t="s">
        <v>10</v>
      </c>
      <c r="O786" s="5" t="s">
        <v>10</v>
      </c>
      <c r="P786" s="1" t="s">
        <v>3737</v>
      </c>
      <c r="Q786" s="1" t="s">
        <v>6113</v>
      </c>
      <c r="R786" s="2" t="s">
        <v>5840</v>
      </c>
      <c r="S786" s="1" t="s">
        <v>6244</v>
      </c>
      <c r="T786" s="1">
        <v>4678</v>
      </c>
      <c r="U786" s="1">
        <v>419</v>
      </c>
      <c r="V786" s="1">
        <v>419</v>
      </c>
      <c r="AH786" s="1">
        <v>4259</v>
      </c>
      <c r="AQ786" s="1">
        <v>4259</v>
      </c>
    </row>
    <row r="787" spans="1:44" x14ac:dyDescent="0.2">
      <c r="A787" s="1" t="s">
        <v>214</v>
      </c>
      <c r="B787" s="1">
        <v>17848626</v>
      </c>
      <c r="C787" s="1" t="s">
        <v>7420</v>
      </c>
      <c r="E787" s="21">
        <v>738</v>
      </c>
      <c r="G787" s="1" t="s">
        <v>61</v>
      </c>
      <c r="H787" s="1" t="s">
        <v>7396</v>
      </c>
      <c r="I787" s="5">
        <v>39336</v>
      </c>
      <c r="J787" s="18" t="s">
        <v>11</v>
      </c>
      <c r="K787" s="1" t="s">
        <v>90</v>
      </c>
      <c r="L787" s="1" t="s">
        <v>213</v>
      </c>
      <c r="M787" s="5"/>
      <c r="N787" s="5" t="s">
        <v>10</v>
      </c>
      <c r="O787" s="5" t="s">
        <v>10</v>
      </c>
      <c r="P787" s="1" t="s">
        <v>3886</v>
      </c>
      <c r="Q787" s="1" t="s">
        <v>6426</v>
      </c>
      <c r="R787" s="2" t="s">
        <v>4616</v>
      </c>
      <c r="S787" s="1" t="s">
        <v>6244</v>
      </c>
      <c r="T787" s="1">
        <v>7390</v>
      </c>
      <c r="U787" s="1">
        <v>1087</v>
      </c>
      <c r="V787" s="1">
        <v>1087</v>
      </c>
      <c r="AH787" s="1">
        <v>6303</v>
      </c>
      <c r="AI787" s="1">
        <v>5066</v>
      </c>
      <c r="AM787" s="1">
        <v>603</v>
      </c>
      <c r="AN787" s="1">
        <v>634</v>
      </c>
    </row>
    <row r="788" spans="1:44" x14ac:dyDescent="0.2">
      <c r="A788" s="1" t="s">
        <v>2634</v>
      </c>
      <c r="B788" s="1">
        <v>17855449</v>
      </c>
      <c r="C788" s="1" t="s">
        <v>7420</v>
      </c>
      <c r="E788" s="21">
        <v>4</v>
      </c>
      <c r="G788" s="1" t="s">
        <v>951</v>
      </c>
      <c r="H788" s="1" t="s">
        <v>7229</v>
      </c>
      <c r="I788" s="5">
        <v>39337</v>
      </c>
      <c r="J788" s="18" t="s">
        <v>10</v>
      </c>
      <c r="K788" s="1" t="s">
        <v>103</v>
      </c>
      <c r="L788" s="1" t="s">
        <v>2808</v>
      </c>
      <c r="N788" s="5" t="s">
        <v>10</v>
      </c>
      <c r="O788" s="5" t="s">
        <v>10</v>
      </c>
      <c r="P788" s="1" t="s">
        <v>3058</v>
      </c>
      <c r="Q788" s="1" t="s">
        <v>6251</v>
      </c>
      <c r="R788" s="2" t="s">
        <v>3059</v>
      </c>
      <c r="S788" s="1" t="s">
        <v>6242</v>
      </c>
      <c r="T788" s="1">
        <v>3220</v>
      </c>
      <c r="U788" s="1">
        <v>742</v>
      </c>
      <c r="X788" s="1">
        <v>742</v>
      </c>
      <c r="AH788" s="1">
        <v>2478</v>
      </c>
      <c r="AK788" s="1">
        <v>2478</v>
      </c>
    </row>
    <row r="789" spans="1:44" x14ac:dyDescent="0.2">
      <c r="A789" s="1" t="s">
        <v>2686</v>
      </c>
      <c r="B789" s="1">
        <v>17873874</v>
      </c>
      <c r="C789" s="1" t="s">
        <v>7420</v>
      </c>
      <c r="E789" s="21">
        <v>29637</v>
      </c>
      <c r="F789" s="17">
        <v>1</v>
      </c>
      <c r="G789" s="1" t="s">
        <v>6829</v>
      </c>
      <c r="H789" s="1" t="s">
        <v>7347</v>
      </c>
      <c r="I789" s="5">
        <v>39341</v>
      </c>
      <c r="J789" s="18" t="s">
        <v>10</v>
      </c>
      <c r="K789" s="1" t="s">
        <v>28</v>
      </c>
      <c r="L789" s="1" t="s">
        <v>2809</v>
      </c>
      <c r="N789" s="5" t="s">
        <v>10</v>
      </c>
      <c r="O789" s="5" t="s">
        <v>10</v>
      </c>
      <c r="P789" s="2" t="s">
        <v>3339</v>
      </c>
      <c r="Q789" s="1" t="s">
        <v>33</v>
      </c>
      <c r="R789" s="10" t="s">
        <v>3338</v>
      </c>
      <c r="S789" s="1" t="s">
        <v>6244</v>
      </c>
      <c r="T789" s="1">
        <v>270</v>
      </c>
      <c r="U789" s="1">
        <v>270</v>
      </c>
      <c r="V789" s="1">
        <v>90</v>
      </c>
      <c r="W789" s="1">
        <v>90</v>
      </c>
      <c r="X789" s="1">
        <v>90</v>
      </c>
    </row>
    <row r="790" spans="1:44" x14ac:dyDescent="0.2">
      <c r="A790" s="1" t="s">
        <v>219</v>
      </c>
      <c r="B790" s="1">
        <v>17873877</v>
      </c>
      <c r="C790" s="1" t="s">
        <v>7420</v>
      </c>
      <c r="E790" s="21">
        <v>21639</v>
      </c>
      <c r="F790" s="17">
        <v>1</v>
      </c>
      <c r="G790" s="1" t="s">
        <v>6829</v>
      </c>
      <c r="H790" s="1" t="s">
        <v>7347</v>
      </c>
      <c r="I790" s="5">
        <v>39341</v>
      </c>
      <c r="J790" s="18" t="s">
        <v>10</v>
      </c>
      <c r="K790" s="1" t="s">
        <v>28</v>
      </c>
      <c r="L790" s="1" t="s">
        <v>2810</v>
      </c>
      <c r="M790" s="5"/>
      <c r="N790" s="5" t="s">
        <v>10</v>
      </c>
      <c r="O790" s="5" t="s">
        <v>10</v>
      </c>
      <c r="P790" s="2" t="s">
        <v>3650</v>
      </c>
      <c r="Q790" s="1" t="s">
        <v>33</v>
      </c>
      <c r="R790" s="10" t="s">
        <v>5759</v>
      </c>
      <c r="S790" s="1" t="s">
        <v>6243</v>
      </c>
      <c r="T790" s="1">
        <v>378</v>
      </c>
      <c r="U790" s="1">
        <v>378</v>
      </c>
      <c r="V790" s="1">
        <v>378</v>
      </c>
    </row>
    <row r="791" spans="1:44" x14ac:dyDescent="0.2">
      <c r="A791" s="1" t="s">
        <v>222</v>
      </c>
      <c r="B791" s="1">
        <v>17903292</v>
      </c>
      <c r="C791" s="1" t="s">
        <v>7420</v>
      </c>
      <c r="E791" s="21">
        <v>83</v>
      </c>
      <c r="G791" s="1" t="s">
        <v>6856</v>
      </c>
      <c r="H791" s="1" t="s">
        <v>7281</v>
      </c>
      <c r="I791" s="5">
        <v>39344</v>
      </c>
      <c r="J791" s="18" t="s">
        <v>11</v>
      </c>
      <c r="K791" s="1" t="s">
        <v>220</v>
      </c>
      <c r="L791" s="1" t="s">
        <v>221</v>
      </c>
      <c r="M791" s="5"/>
      <c r="N791" s="5" t="s">
        <v>10</v>
      </c>
      <c r="O791" s="5" t="s">
        <v>10</v>
      </c>
      <c r="P791" s="1" t="s">
        <v>5432</v>
      </c>
      <c r="Q791" s="1" t="s">
        <v>33</v>
      </c>
      <c r="R791" s="2" t="s">
        <v>5830</v>
      </c>
      <c r="S791" s="1" t="s">
        <v>6243</v>
      </c>
      <c r="T791" s="1">
        <v>1010</v>
      </c>
      <c r="U791" s="1">
        <v>1010</v>
      </c>
      <c r="V791" s="1">
        <v>1010</v>
      </c>
    </row>
    <row r="792" spans="1:44" x14ac:dyDescent="0.2">
      <c r="A792" s="1" t="s">
        <v>225</v>
      </c>
      <c r="B792" s="1">
        <v>17903293</v>
      </c>
      <c r="C792" s="1" t="s">
        <v>7420</v>
      </c>
      <c r="E792" s="21">
        <v>75</v>
      </c>
      <c r="G792" s="1" t="s">
        <v>6773</v>
      </c>
      <c r="H792" s="1" t="s">
        <v>7409</v>
      </c>
      <c r="I792" s="5">
        <v>39344</v>
      </c>
      <c r="J792" s="18" t="s">
        <v>11</v>
      </c>
      <c r="K792" s="1" t="s">
        <v>220</v>
      </c>
      <c r="L792" s="1" t="s">
        <v>224</v>
      </c>
      <c r="M792" s="5"/>
      <c r="N792" s="5" t="s">
        <v>10</v>
      </c>
      <c r="O792" s="5" t="s">
        <v>10</v>
      </c>
      <c r="P792" s="1" t="s">
        <v>5048</v>
      </c>
      <c r="Q792" s="1" t="s">
        <v>33</v>
      </c>
      <c r="R792" s="2" t="s">
        <v>5830</v>
      </c>
      <c r="S792" s="1" t="s">
        <v>6243</v>
      </c>
      <c r="T792" s="1">
        <v>1012</v>
      </c>
      <c r="U792" s="1">
        <v>1012</v>
      </c>
      <c r="V792" s="1">
        <v>1012</v>
      </c>
    </row>
    <row r="793" spans="1:44" x14ac:dyDescent="0.2">
      <c r="A793" s="1" t="s">
        <v>227</v>
      </c>
      <c r="B793" s="1">
        <v>17903294</v>
      </c>
      <c r="C793" s="1" t="s">
        <v>7420</v>
      </c>
      <c r="E793" s="21">
        <v>72</v>
      </c>
      <c r="G793" s="1" t="s">
        <v>6776</v>
      </c>
      <c r="H793" s="1" t="s">
        <v>7221</v>
      </c>
      <c r="I793" s="5">
        <v>39344</v>
      </c>
      <c r="J793" s="18" t="s">
        <v>11</v>
      </c>
      <c r="K793" s="1" t="s">
        <v>220</v>
      </c>
      <c r="L793" s="1" t="s">
        <v>226</v>
      </c>
      <c r="M793" s="5"/>
      <c r="N793" s="5" t="s">
        <v>10</v>
      </c>
      <c r="O793" s="5" t="s">
        <v>10</v>
      </c>
      <c r="P793" s="1" t="s">
        <v>5044</v>
      </c>
      <c r="Q793" s="1" t="s">
        <v>33</v>
      </c>
      <c r="R793" s="2" t="s">
        <v>5830</v>
      </c>
      <c r="S793" s="1" t="s">
        <v>6243</v>
      </c>
      <c r="T793" s="1">
        <v>1000</v>
      </c>
      <c r="U793" s="1">
        <v>1000</v>
      </c>
      <c r="V793" s="1">
        <v>1000</v>
      </c>
    </row>
    <row r="794" spans="1:44" x14ac:dyDescent="0.2">
      <c r="A794" s="1" t="s">
        <v>229</v>
      </c>
      <c r="B794" s="1">
        <v>17903295</v>
      </c>
      <c r="C794" s="1" t="s">
        <v>7420</v>
      </c>
      <c r="E794" s="21">
        <v>126</v>
      </c>
      <c r="G794" s="1" t="s">
        <v>6861</v>
      </c>
      <c r="H794" s="1" t="s">
        <v>7291</v>
      </c>
      <c r="I794" s="5">
        <v>39344</v>
      </c>
      <c r="J794" s="18" t="s">
        <v>11</v>
      </c>
      <c r="K794" s="1" t="s">
        <v>220</v>
      </c>
      <c r="L794" s="1" t="s">
        <v>228</v>
      </c>
      <c r="M794" s="5"/>
      <c r="N794" s="5" t="s">
        <v>10</v>
      </c>
      <c r="O794" s="5" t="s">
        <v>10</v>
      </c>
      <c r="P794" s="1" t="s">
        <v>3843</v>
      </c>
      <c r="Q794" s="1" t="s">
        <v>33</v>
      </c>
      <c r="R794" s="2" t="s">
        <v>5830</v>
      </c>
      <c r="S794" s="1" t="s">
        <v>6243</v>
      </c>
      <c r="T794" s="1">
        <v>1345</v>
      </c>
      <c r="U794" s="1">
        <v>1345</v>
      </c>
      <c r="V794" s="1">
        <v>1345</v>
      </c>
    </row>
    <row r="795" spans="1:44" x14ac:dyDescent="0.2">
      <c r="A795" s="1" t="s">
        <v>231</v>
      </c>
      <c r="B795" s="1">
        <v>17903296</v>
      </c>
      <c r="C795" s="1" t="s">
        <v>7420</v>
      </c>
      <c r="E795" s="21">
        <v>98</v>
      </c>
      <c r="G795" s="1" t="s">
        <v>232</v>
      </c>
      <c r="H795" s="1" t="s">
        <v>7231</v>
      </c>
      <c r="I795" s="5">
        <v>39344</v>
      </c>
      <c r="J795" s="18" t="s">
        <v>11</v>
      </c>
      <c r="K795" s="1" t="s">
        <v>220</v>
      </c>
      <c r="L795" s="1" t="s">
        <v>230</v>
      </c>
      <c r="M795" s="5"/>
      <c r="N795" s="5" t="s">
        <v>10</v>
      </c>
      <c r="O795" s="5" t="s">
        <v>10</v>
      </c>
      <c r="P795" s="1" t="s">
        <v>5053</v>
      </c>
      <c r="Q795" s="1" t="s">
        <v>33</v>
      </c>
      <c r="R795" s="2" t="s">
        <v>5830</v>
      </c>
      <c r="S795" s="1" t="s">
        <v>6243</v>
      </c>
      <c r="T795" s="1">
        <v>1141</v>
      </c>
      <c r="U795" s="1">
        <v>1141</v>
      </c>
      <c r="V795" s="1">
        <v>1141</v>
      </c>
    </row>
    <row r="796" spans="1:44" x14ac:dyDescent="0.2">
      <c r="A796" s="1" t="s">
        <v>234</v>
      </c>
      <c r="B796" s="1">
        <v>17903297</v>
      </c>
      <c r="C796" s="1" t="s">
        <v>7420</v>
      </c>
      <c r="E796" s="21">
        <v>124</v>
      </c>
      <c r="G796" s="1" t="s">
        <v>235</v>
      </c>
      <c r="H796" s="1" t="s">
        <v>236</v>
      </c>
      <c r="I796" s="5">
        <v>39344</v>
      </c>
      <c r="J796" s="18" t="s">
        <v>11</v>
      </c>
      <c r="K796" s="1" t="s">
        <v>220</v>
      </c>
      <c r="L796" s="1" t="s">
        <v>233</v>
      </c>
      <c r="M796" s="5"/>
      <c r="N796" s="5" t="s">
        <v>10</v>
      </c>
      <c r="O796" s="5" t="s">
        <v>10</v>
      </c>
      <c r="P796" s="1" t="s">
        <v>5372</v>
      </c>
      <c r="Q796" s="1" t="s">
        <v>33</v>
      </c>
      <c r="R796" s="2" t="s">
        <v>5830</v>
      </c>
      <c r="S796" s="1" t="s">
        <v>6243</v>
      </c>
      <c r="T796" s="1">
        <v>705</v>
      </c>
      <c r="U796" s="1">
        <v>705</v>
      </c>
      <c r="V796" s="1">
        <v>705</v>
      </c>
    </row>
    <row r="797" spans="1:44" x14ac:dyDescent="0.2">
      <c r="A797" s="1" t="s">
        <v>238</v>
      </c>
      <c r="B797" s="1">
        <v>17903298</v>
      </c>
      <c r="C797" s="1" t="s">
        <v>7420</v>
      </c>
      <c r="E797" s="21">
        <v>50</v>
      </c>
      <c r="G797" s="1" t="s">
        <v>61</v>
      </c>
      <c r="H797" s="1" t="s">
        <v>7396</v>
      </c>
      <c r="I797" s="5">
        <v>39344</v>
      </c>
      <c r="J797" s="18" t="s">
        <v>11</v>
      </c>
      <c r="K797" s="1" t="s">
        <v>220</v>
      </c>
      <c r="L797" s="1" t="s">
        <v>237</v>
      </c>
      <c r="M797" s="5"/>
      <c r="N797" s="5" t="s">
        <v>10</v>
      </c>
      <c r="O797" s="5" t="s">
        <v>10</v>
      </c>
      <c r="P797" s="1" t="s">
        <v>5051</v>
      </c>
      <c r="Q797" s="1" t="s">
        <v>33</v>
      </c>
      <c r="R797" s="2" t="s">
        <v>5830</v>
      </c>
      <c r="S797" s="1" t="s">
        <v>6243</v>
      </c>
      <c r="T797" s="1">
        <v>1087</v>
      </c>
      <c r="U797" s="1">
        <v>1087</v>
      </c>
      <c r="V797" s="1">
        <v>1087</v>
      </c>
    </row>
    <row r="798" spans="1:44" x14ac:dyDescent="0.2">
      <c r="A798" s="1" t="s">
        <v>241</v>
      </c>
      <c r="B798" s="1">
        <v>17903299</v>
      </c>
      <c r="C798" s="1" t="s">
        <v>7420</v>
      </c>
      <c r="E798" s="21">
        <v>97</v>
      </c>
      <c r="G798" s="1" t="s">
        <v>242</v>
      </c>
      <c r="H798" s="1" t="s">
        <v>7160</v>
      </c>
      <c r="I798" s="5">
        <v>39344</v>
      </c>
      <c r="J798" s="18" t="s">
        <v>11</v>
      </c>
      <c r="K798" s="1" t="s">
        <v>220</v>
      </c>
      <c r="L798" s="1" t="s">
        <v>240</v>
      </c>
      <c r="M798" s="5"/>
      <c r="N798" s="5" t="s">
        <v>10</v>
      </c>
      <c r="O798" s="5" t="s">
        <v>10</v>
      </c>
      <c r="P798" s="1" t="s">
        <v>5051</v>
      </c>
      <c r="Q798" s="1" t="s">
        <v>6071</v>
      </c>
      <c r="R798" s="2" t="s">
        <v>5830</v>
      </c>
      <c r="S798" s="1" t="s">
        <v>6389</v>
      </c>
      <c r="T798" s="1">
        <v>9187</v>
      </c>
      <c r="U798" s="1">
        <v>1087</v>
      </c>
      <c r="V798" s="1">
        <v>1087</v>
      </c>
      <c r="AH798" s="1">
        <v>8100</v>
      </c>
      <c r="AI798" s="1">
        <v>1450</v>
      </c>
      <c r="AR798" s="1">
        <v>6650</v>
      </c>
    </row>
    <row r="799" spans="1:44" x14ac:dyDescent="0.2">
      <c r="A799" s="1" t="s">
        <v>244</v>
      </c>
      <c r="B799" s="1">
        <v>17903300</v>
      </c>
      <c r="C799" s="1" t="s">
        <v>7420</v>
      </c>
      <c r="E799" s="21">
        <v>93</v>
      </c>
      <c r="G799" s="1" t="s">
        <v>6885</v>
      </c>
      <c r="H799" s="1" t="s">
        <v>7304</v>
      </c>
      <c r="I799" s="5">
        <v>39344</v>
      </c>
      <c r="J799" s="18" t="s">
        <v>11</v>
      </c>
      <c r="K799" s="1" t="s">
        <v>220</v>
      </c>
      <c r="L799" s="1" t="s">
        <v>243</v>
      </c>
      <c r="M799" s="5"/>
      <c r="N799" s="5" t="s">
        <v>10</v>
      </c>
      <c r="O799" s="5" t="s">
        <v>10</v>
      </c>
      <c r="P799" s="1" t="s">
        <v>5069</v>
      </c>
      <c r="Q799" s="1" t="s">
        <v>33</v>
      </c>
      <c r="R799" s="2" t="s">
        <v>5830</v>
      </c>
      <c r="S799" s="1" t="s">
        <v>6243</v>
      </c>
      <c r="T799" s="1">
        <v>1341</v>
      </c>
      <c r="U799" s="1">
        <v>1341</v>
      </c>
      <c r="V799" s="1">
        <v>1341</v>
      </c>
    </row>
    <row r="800" spans="1:44" x14ac:dyDescent="0.2">
      <c r="A800" s="1" t="s">
        <v>247</v>
      </c>
      <c r="B800" s="1">
        <v>17903301</v>
      </c>
      <c r="C800" s="1" t="s">
        <v>7420</v>
      </c>
      <c r="E800" s="21">
        <v>114</v>
      </c>
      <c r="G800" s="1" t="s">
        <v>248</v>
      </c>
      <c r="H800" s="1" t="s">
        <v>7256</v>
      </c>
      <c r="I800" s="5">
        <v>39344</v>
      </c>
      <c r="J800" s="18" t="s">
        <v>11</v>
      </c>
      <c r="K800" s="1" t="s">
        <v>220</v>
      </c>
      <c r="L800" s="1" t="s">
        <v>246</v>
      </c>
      <c r="M800" s="5"/>
      <c r="N800" s="5" t="s">
        <v>10</v>
      </c>
      <c r="O800" s="5" t="s">
        <v>10</v>
      </c>
      <c r="P800" s="1" t="s">
        <v>5060</v>
      </c>
      <c r="Q800" s="1" t="s">
        <v>33</v>
      </c>
      <c r="R800" s="2" t="s">
        <v>5830</v>
      </c>
      <c r="S800" s="1" t="s">
        <v>6243</v>
      </c>
      <c r="T800" s="1">
        <v>1238</v>
      </c>
      <c r="U800" s="1">
        <v>1238</v>
      </c>
      <c r="V800" s="1">
        <v>1238</v>
      </c>
    </row>
    <row r="801" spans="1:44" x14ac:dyDescent="0.2">
      <c r="A801" s="1" t="s">
        <v>251</v>
      </c>
      <c r="B801" s="1">
        <v>17903302</v>
      </c>
      <c r="C801" s="1" t="s">
        <v>7420</v>
      </c>
      <c r="E801" s="21">
        <v>115</v>
      </c>
      <c r="G801" s="1" t="s">
        <v>252</v>
      </c>
      <c r="H801" s="1" t="s">
        <v>7223</v>
      </c>
      <c r="I801" s="5">
        <v>39344</v>
      </c>
      <c r="J801" s="18" t="s">
        <v>11</v>
      </c>
      <c r="K801" s="1" t="s">
        <v>220</v>
      </c>
      <c r="L801" s="1" t="s">
        <v>250</v>
      </c>
      <c r="M801" s="5"/>
      <c r="N801" s="5" t="s">
        <v>10</v>
      </c>
      <c r="O801" s="5" t="s">
        <v>10</v>
      </c>
      <c r="P801" s="1" t="s">
        <v>5436</v>
      </c>
      <c r="Q801" s="1" t="s">
        <v>33</v>
      </c>
      <c r="R801" s="2" t="s">
        <v>5830</v>
      </c>
      <c r="S801" s="1" t="s">
        <v>6243</v>
      </c>
      <c r="T801" s="1">
        <v>1327</v>
      </c>
      <c r="U801" s="1">
        <v>1327</v>
      </c>
      <c r="V801" s="1">
        <v>1327</v>
      </c>
    </row>
    <row r="802" spans="1:44" x14ac:dyDescent="0.2">
      <c r="A802" s="1" t="s">
        <v>254</v>
      </c>
      <c r="B802" s="1">
        <v>17903303</v>
      </c>
      <c r="C802" s="1" t="s">
        <v>7420</v>
      </c>
      <c r="E802" s="21">
        <v>98</v>
      </c>
      <c r="G802" s="1" t="s">
        <v>6960</v>
      </c>
      <c r="H802" s="1" t="s">
        <v>7320</v>
      </c>
      <c r="I802" s="5">
        <v>39344</v>
      </c>
      <c r="J802" s="18" t="s">
        <v>11</v>
      </c>
      <c r="K802" s="1" t="s">
        <v>220</v>
      </c>
      <c r="L802" s="1" t="s">
        <v>253</v>
      </c>
      <c r="M802" s="5"/>
      <c r="N802" s="5" t="s">
        <v>10</v>
      </c>
      <c r="O802" s="5" t="s">
        <v>10</v>
      </c>
      <c r="P802" s="1" t="s">
        <v>5454</v>
      </c>
      <c r="Q802" s="1" t="s">
        <v>33</v>
      </c>
      <c r="R802" s="2" t="s">
        <v>5830</v>
      </c>
      <c r="S802" s="1" t="s">
        <v>6243</v>
      </c>
      <c r="T802" s="1">
        <v>984</v>
      </c>
      <c r="U802" s="1">
        <v>984</v>
      </c>
      <c r="V802" s="1">
        <v>984</v>
      </c>
    </row>
    <row r="803" spans="1:44" x14ac:dyDescent="0.2">
      <c r="A803" s="1" t="s">
        <v>256</v>
      </c>
      <c r="B803" s="1">
        <v>17903304</v>
      </c>
      <c r="C803" s="1" t="s">
        <v>7420</v>
      </c>
      <c r="E803" s="21">
        <v>94</v>
      </c>
      <c r="G803" s="1" t="s">
        <v>6805</v>
      </c>
      <c r="H803" s="1" t="s">
        <v>7187</v>
      </c>
      <c r="I803" s="5">
        <v>39344</v>
      </c>
      <c r="J803" s="18" t="s">
        <v>11</v>
      </c>
      <c r="K803" s="1" t="s">
        <v>220</v>
      </c>
      <c r="L803" s="1" t="s">
        <v>255</v>
      </c>
      <c r="M803" s="5"/>
      <c r="N803" s="5" t="s">
        <v>10</v>
      </c>
      <c r="O803" s="5" t="s">
        <v>10</v>
      </c>
      <c r="P803" s="1" t="s">
        <v>5437</v>
      </c>
      <c r="Q803" s="1" t="s">
        <v>33</v>
      </c>
      <c r="R803" s="2" t="s">
        <v>5830</v>
      </c>
      <c r="S803" s="1" t="s">
        <v>6243</v>
      </c>
      <c r="T803" s="1">
        <v>1345</v>
      </c>
      <c r="U803" s="1">
        <v>1345</v>
      </c>
      <c r="V803" s="1">
        <v>1345</v>
      </c>
    </row>
    <row r="804" spans="1:44" x14ac:dyDescent="0.2">
      <c r="A804" s="1" t="s">
        <v>258</v>
      </c>
      <c r="B804" s="1">
        <v>17903305</v>
      </c>
      <c r="C804" s="1" t="s">
        <v>7420</v>
      </c>
      <c r="E804" s="21">
        <v>96</v>
      </c>
      <c r="G804" s="1" t="s">
        <v>6780</v>
      </c>
      <c r="H804" s="1" t="s">
        <v>7067</v>
      </c>
      <c r="I804" s="5">
        <v>39344</v>
      </c>
      <c r="J804" s="18" t="s">
        <v>11</v>
      </c>
      <c r="K804" s="1" t="s">
        <v>220</v>
      </c>
      <c r="L804" s="1" t="s">
        <v>257</v>
      </c>
      <c r="M804" s="5"/>
      <c r="N804" s="5" t="s">
        <v>11</v>
      </c>
      <c r="O804" s="5" t="s">
        <v>10</v>
      </c>
      <c r="P804" s="1" t="s">
        <v>5127</v>
      </c>
      <c r="Q804" s="1" t="s">
        <v>33</v>
      </c>
      <c r="R804" s="2" t="s">
        <v>5830</v>
      </c>
      <c r="S804" s="1" t="s">
        <v>6243</v>
      </c>
      <c r="T804" s="1">
        <v>1345</v>
      </c>
      <c r="U804" s="1">
        <v>1345</v>
      </c>
      <c r="V804" s="1">
        <v>1345</v>
      </c>
    </row>
    <row r="805" spans="1:44" x14ac:dyDescent="0.2">
      <c r="A805" s="1" t="s">
        <v>261</v>
      </c>
      <c r="B805" s="1">
        <v>17903306</v>
      </c>
      <c r="C805" s="1" t="s">
        <v>7420</v>
      </c>
      <c r="E805" s="21">
        <v>65</v>
      </c>
      <c r="G805" s="1" t="s">
        <v>6812</v>
      </c>
      <c r="H805" s="1" t="s">
        <v>7255</v>
      </c>
      <c r="I805" s="5">
        <v>39344</v>
      </c>
      <c r="J805" s="18" t="s">
        <v>11</v>
      </c>
      <c r="K805" s="1" t="s">
        <v>220</v>
      </c>
      <c r="L805" s="1" t="s">
        <v>260</v>
      </c>
      <c r="M805" s="5"/>
      <c r="N805" s="5" t="s">
        <v>10</v>
      </c>
      <c r="O805" s="5" t="s">
        <v>10</v>
      </c>
      <c r="P805" s="1" t="s">
        <v>5438</v>
      </c>
      <c r="Q805" s="1" t="s">
        <v>33</v>
      </c>
      <c r="R805" s="2" t="s">
        <v>5830</v>
      </c>
      <c r="S805" s="1" t="s">
        <v>6243</v>
      </c>
      <c r="T805" s="1">
        <v>1375</v>
      </c>
      <c r="U805" s="1">
        <v>1375</v>
      </c>
      <c r="V805" s="1">
        <v>1375</v>
      </c>
    </row>
    <row r="806" spans="1:44" x14ac:dyDescent="0.2">
      <c r="A806" s="1" t="s">
        <v>264</v>
      </c>
      <c r="B806" s="1">
        <v>17903307</v>
      </c>
      <c r="C806" s="1" t="s">
        <v>7420</v>
      </c>
      <c r="E806" s="21">
        <v>68</v>
      </c>
      <c r="G806" s="1" t="s">
        <v>7112</v>
      </c>
      <c r="H806" s="1" t="s">
        <v>7292</v>
      </c>
      <c r="I806" s="5">
        <v>39344</v>
      </c>
      <c r="J806" s="18" t="s">
        <v>11</v>
      </c>
      <c r="K806" s="1" t="s">
        <v>220</v>
      </c>
      <c r="L806" s="1" t="s">
        <v>263</v>
      </c>
      <c r="M806" s="5"/>
      <c r="N806" s="5" t="s">
        <v>10</v>
      </c>
      <c r="O806" s="5" t="s">
        <v>10</v>
      </c>
      <c r="P806" s="1" t="s">
        <v>5433</v>
      </c>
      <c r="Q806" s="1" t="s">
        <v>33</v>
      </c>
      <c r="R806" s="2" t="s">
        <v>5830</v>
      </c>
      <c r="S806" s="1" t="s">
        <v>6243</v>
      </c>
      <c r="T806" s="1">
        <v>1222</v>
      </c>
      <c r="U806" s="1">
        <v>1222</v>
      </c>
      <c r="V806" s="1">
        <v>1222</v>
      </c>
    </row>
    <row r="807" spans="1:44" x14ac:dyDescent="0.2">
      <c r="A807" s="1" t="s">
        <v>266</v>
      </c>
      <c r="B807" s="1">
        <v>17903308</v>
      </c>
      <c r="C807" s="1" t="s">
        <v>7420</v>
      </c>
      <c r="E807" s="21">
        <v>30</v>
      </c>
      <c r="G807" s="1" t="s">
        <v>267</v>
      </c>
      <c r="H807" s="1" t="s">
        <v>268</v>
      </c>
      <c r="I807" s="5">
        <v>39344</v>
      </c>
      <c r="J807" s="18" t="s">
        <v>11</v>
      </c>
      <c r="K807" s="1" t="s">
        <v>220</v>
      </c>
      <c r="L807" s="1" t="s">
        <v>265</v>
      </c>
      <c r="M807" s="5"/>
      <c r="N807" s="5" t="s">
        <v>10</v>
      </c>
      <c r="O807" s="5" t="s">
        <v>10</v>
      </c>
      <c r="P807" s="1" t="s">
        <v>5376</v>
      </c>
      <c r="Q807" s="1" t="s">
        <v>33</v>
      </c>
      <c r="R807" s="2" t="s">
        <v>5830</v>
      </c>
      <c r="S807" s="1" t="s">
        <v>6243</v>
      </c>
      <c r="T807" s="1">
        <v>738</v>
      </c>
      <c r="U807" s="1">
        <v>738</v>
      </c>
      <c r="V807" s="1">
        <v>738</v>
      </c>
    </row>
    <row r="808" spans="1:44" x14ac:dyDescent="0.2">
      <c r="A808" s="1" t="s">
        <v>217</v>
      </c>
      <c r="B808" s="1">
        <v>17911428</v>
      </c>
      <c r="C808" s="1" t="s">
        <v>7420</v>
      </c>
      <c r="E808" s="21">
        <v>7</v>
      </c>
      <c r="G808" s="1" t="s">
        <v>218</v>
      </c>
      <c r="H808" s="1" t="s">
        <v>7376</v>
      </c>
      <c r="I808" s="5">
        <v>39340</v>
      </c>
      <c r="J808" s="18" t="s">
        <v>11</v>
      </c>
      <c r="K808" s="1" t="s">
        <v>215</v>
      </c>
      <c r="L808" s="1" t="s">
        <v>216</v>
      </c>
      <c r="M808" s="5"/>
      <c r="N808" s="5" t="s">
        <v>10</v>
      </c>
      <c r="O808" s="5" t="s">
        <v>10</v>
      </c>
      <c r="P808" s="1" t="s">
        <v>3589</v>
      </c>
      <c r="Q808" s="1" t="s">
        <v>33</v>
      </c>
      <c r="R808" s="2" t="s">
        <v>5900</v>
      </c>
      <c r="S808" s="1" t="s">
        <v>6243</v>
      </c>
      <c r="T808" s="1">
        <v>105</v>
      </c>
      <c r="U808" s="1">
        <v>105</v>
      </c>
      <c r="V808" s="1">
        <v>105</v>
      </c>
    </row>
    <row r="809" spans="1:44" x14ac:dyDescent="0.2">
      <c r="A809" s="1" t="s">
        <v>273</v>
      </c>
      <c r="B809" s="1">
        <v>17934461</v>
      </c>
      <c r="C809" s="1" t="s">
        <v>7420</v>
      </c>
      <c r="D809" s="1" t="s">
        <v>7411</v>
      </c>
      <c r="E809" s="21">
        <v>3</v>
      </c>
      <c r="G809" s="1" t="s">
        <v>145</v>
      </c>
      <c r="H809" s="1" t="s">
        <v>146</v>
      </c>
      <c r="I809" s="5">
        <v>39369</v>
      </c>
      <c r="J809" s="18" t="s">
        <v>11</v>
      </c>
      <c r="K809" s="1" t="s">
        <v>28</v>
      </c>
      <c r="L809" s="1" t="s">
        <v>272</v>
      </c>
      <c r="M809" s="5"/>
      <c r="N809" s="5" t="s">
        <v>10</v>
      </c>
      <c r="O809" s="5" t="s">
        <v>10</v>
      </c>
      <c r="P809" s="1" t="s">
        <v>3472</v>
      </c>
      <c r="Q809" s="1" t="s">
        <v>4714</v>
      </c>
      <c r="R809" s="2" t="s">
        <v>5819</v>
      </c>
      <c r="S809" s="1" t="s">
        <v>6243</v>
      </c>
      <c r="T809" s="1">
        <v>15362</v>
      </c>
      <c r="U809" s="1">
        <v>1905</v>
      </c>
      <c r="V809" s="1">
        <v>1905</v>
      </c>
      <c r="AH809" s="1">
        <v>13457</v>
      </c>
      <c r="AI809" s="1">
        <v>13457</v>
      </c>
    </row>
    <row r="810" spans="1:44" x14ac:dyDescent="0.2">
      <c r="A810" s="1" t="s">
        <v>279</v>
      </c>
      <c r="B810" s="1">
        <v>17952075</v>
      </c>
      <c r="C810" s="1" t="s">
        <v>7420</v>
      </c>
      <c r="E810" s="21">
        <v>62</v>
      </c>
      <c r="G810" s="1" t="s">
        <v>280</v>
      </c>
      <c r="H810" s="1" t="s">
        <v>281</v>
      </c>
      <c r="I810" s="5">
        <v>39376</v>
      </c>
      <c r="J810" s="18" t="s">
        <v>11</v>
      </c>
      <c r="K810" s="1" t="s">
        <v>28</v>
      </c>
      <c r="L810" s="1" t="s">
        <v>278</v>
      </c>
      <c r="M810" s="5"/>
      <c r="N810" s="5" t="s">
        <v>10</v>
      </c>
      <c r="O810" s="5" t="s">
        <v>10</v>
      </c>
      <c r="P810" s="1" t="s">
        <v>3802</v>
      </c>
      <c r="Q810" s="1" t="s">
        <v>4303</v>
      </c>
      <c r="R810" s="2" t="s">
        <v>5746</v>
      </c>
      <c r="S810" s="1" t="s">
        <v>6243</v>
      </c>
      <c r="T810" s="1">
        <v>6918</v>
      </c>
      <c r="U810" s="1">
        <v>2986</v>
      </c>
      <c r="V810" s="1">
        <v>2986</v>
      </c>
      <c r="AH810" s="1">
        <v>3932</v>
      </c>
      <c r="AI810" s="1">
        <v>3932</v>
      </c>
    </row>
    <row r="811" spans="1:44" x14ac:dyDescent="0.2">
      <c r="A811" s="1" t="s">
        <v>284</v>
      </c>
      <c r="B811" s="1">
        <v>17975299</v>
      </c>
      <c r="C811" s="1" t="s">
        <v>7420</v>
      </c>
      <c r="E811" s="21">
        <v>4</v>
      </c>
      <c r="G811" s="1" t="s">
        <v>89</v>
      </c>
      <c r="H811" s="1" t="s">
        <v>7126</v>
      </c>
      <c r="I811" s="5">
        <v>39387</v>
      </c>
      <c r="J811" s="18" t="s">
        <v>11</v>
      </c>
      <c r="K811" s="1" t="s">
        <v>282</v>
      </c>
      <c r="L811" s="1" t="s">
        <v>283</v>
      </c>
      <c r="M811" s="5"/>
      <c r="N811" s="5" t="s">
        <v>10</v>
      </c>
      <c r="O811" s="5" t="s">
        <v>10</v>
      </c>
      <c r="P811" s="1" t="s">
        <v>3551</v>
      </c>
      <c r="Q811" s="1" t="s">
        <v>33</v>
      </c>
      <c r="R811" s="2" t="s">
        <v>5909</v>
      </c>
      <c r="S811" s="1" t="s">
        <v>6248</v>
      </c>
      <c r="T811" s="1">
        <v>1086</v>
      </c>
      <c r="U811" s="1">
        <v>1086</v>
      </c>
      <c r="AE811" s="1">
        <v>1086</v>
      </c>
    </row>
    <row r="812" spans="1:44" x14ac:dyDescent="0.2">
      <c r="A812" s="1" t="s">
        <v>201</v>
      </c>
      <c r="B812" s="1">
        <v>17982456</v>
      </c>
      <c r="C812" s="1" t="s">
        <v>7420</v>
      </c>
      <c r="E812" s="21">
        <v>249</v>
      </c>
      <c r="G812" s="1" t="s">
        <v>286</v>
      </c>
      <c r="H812" s="1" t="s">
        <v>7340</v>
      </c>
      <c r="I812" s="5">
        <v>39390</v>
      </c>
      <c r="J812" s="18" t="s">
        <v>11</v>
      </c>
      <c r="K812" s="1" t="s">
        <v>28</v>
      </c>
      <c r="L812" s="1" t="s">
        <v>285</v>
      </c>
      <c r="M812" s="5"/>
      <c r="N812" s="5" t="s">
        <v>10</v>
      </c>
      <c r="O812" s="5" t="s">
        <v>10</v>
      </c>
      <c r="P812" s="1" t="s">
        <v>3658</v>
      </c>
      <c r="Q812" s="1" t="s">
        <v>4307</v>
      </c>
      <c r="R812" s="2" t="s">
        <v>5880</v>
      </c>
      <c r="S812" s="1" t="s">
        <v>6389</v>
      </c>
      <c r="T812" s="1">
        <v>7149</v>
      </c>
      <c r="U812" s="1">
        <v>1608</v>
      </c>
      <c r="V812" s="1">
        <v>1608</v>
      </c>
      <c r="AH812" s="1">
        <v>5541</v>
      </c>
      <c r="AR812" s="1">
        <v>5541</v>
      </c>
    </row>
    <row r="813" spans="1:44" x14ac:dyDescent="0.2">
      <c r="A813" s="1" t="s">
        <v>287</v>
      </c>
      <c r="B813" s="1">
        <v>17982457</v>
      </c>
      <c r="C813" s="1" t="s">
        <v>7420</v>
      </c>
      <c r="E813" s="21">
        <v>762</v>
      </c>
      <c r="F813" s="17">
        <v>1</v>
      </c>
      <c r="G813" s="1" t="s">
        <v>6824</v>
      </c>
      <c r="H813" s="1" t="s">
        <v>7351</v>
      </c>
      <c r="I813" s="5">
        <v>39390</v>
      </c>
      <c r="J813" s="18" t="s">
        <v>10</v>
      </c>
      <c r="K813" s="1" t="s">
        <v>28</v>
      </c>
      <c r="L813" s="1" t="s">
        <v>2811</v>
      </c>
      <c r="M813" s="5"/>
      <c r="N813" s="5" t="s">
        <v>10</v>
      </c>
      <c r="O813" s="5" t="s">
        <v>10</v>
      </c>
      <c r="P813" s="1" t="s">
        <v>6253</v>
      </c>
      <c r="Q813" s="1" t="s">
        <v>33</v>
      </c>
      <c r="R813" s="2" t="s">
        <v>6252</v>
      </c>
      <c r="S813" s="1" t="s">
        <v>6243</v>
      </c>
      <c r="T813" s="1">
        <v>193</v>
      </c>
      <c r="U813" s="1">
        <v>193</v>
      </c>
      <c r="V813" s="1">
        <v>193</v>
      </c>
    </row>
    <row r="814" spans="1:44" x14ac:dyDescent="0.2">
      <c r="A814" s="1" t="s">
        <v>289</v>
      </c>
      <c r="B814" s="1">
        <v>17997608</v>
      </c>
      <c r="C814" s="1" t="s">
        <v>7420</v>
      </c>
      <c r="E814" s="21">
        <v>45</v>
      </c>
      <c r="G814" s="1" t="s">
        <v>6733</v>
      </c>
      <c r="H814" s="1" t="s">
        <v>7211</v>
      </c>
      <c r="I814" s="5">
        <v>39395</v>
      </c>
      <c r="J814" s="18" t="s">
        <v>11</v>
      </c>
      <c r="K814" s="1" t="s">
        <v>65</v>
      </c>
      <c r="L814" s="1" t="s">
        <v>288</v>
      </c>
      <c r="M814" s="5"/>
      <c r="N814" s="5" t="s">
        <v>10</v>
      </c>
      <c r="O814" s="5" t="s">
        <v>10</v>
      </c>
      <c r="P814" s="1" t="s">
        <v>4468</v>
      </c>
      <c r="Q814" s="1" t="s">
        <v>4072</v>
      </c>
      <c r="R814" s="2" t="s">
        <v>4145</v>
      </c>
      <c r="S814" s="1" t="s">
        <v>6243</v>
      </c>
      <c r="T814" s="1">
        <v>5606</v>
      </c>
      <c r="U814" s="1">
        <v>4305</v>
      </c>
      <c r="V814" s="1">
        <v>4305</v>
      </c>
      <c r="AH814" s="1">
        <v>1301</v>
      </c>
      <c r="AI814" s="1">
        <v>1301</v>
      </c>
    </row>
    <row r="815" spans="1:44" x14ac:dyDescent="0.2">
      <c r="A815" s="1" t="s">
        <v>289</v>
      </c>
      <c r="B815" s="1">
        <v>17998437</v>
      </c>
      <c r="C815" s="1" t="s">
        <v>7420</v>
      </c>
      <c r="E815" s="21">
        <v>2287</v>
      </c>
      <c r="G815" s="1" t="s">
        <v>89</v>
      </c>
      <c r="H815" s="1" t="s">
        <v>7126</v>
      </c>
      <c r="I815" s="5">
        <v>39398</v>
      </c>
      <c r="J815" s="18" t="s">
        <v>11</v>
      </c>
      <c r="K815" s="1" t="s">
        <v>290</v>
      </c>
      <c r="L815" s="1" t="s">
        <v>291</v>
      </c>
      <c r="M815" s="5"/>
      <c r="N815" s="5" t="s">
        <v>10</v>
      </c>
      <c r="O815" s="5" t="s">
        <v>10</v>
      </c>
      <c r="P815" s="1" t="s">
        <v>3519</v>
      </c>
      <c r="Q815" s="1" t="s">
        <v>3520</v>
      </c>
      <c r="R815" s="2" t="s">
        <v>5914</v>
      </c>
      <c r="S815" s="1" t="s">
        <v>6243</v>
      </c>
      <c r="T815" s="1">
        <v>2156</v>
      </c>
      <c r="U815" s="1">
        <v>1489</v>
      </c>
      <c r="V815" s="1">
        <v>1489</v>
      </c>
      <c r="AH815" s="1">
        <v>667</v>
      </c>
      <c r="AI815" s="1">
        <v>667</v>
      </c>
    </row>
    <row r="816" spans="1:44" x14ac:dyDescent="0.2">
      <c r="A816" s="1" t="s">
        <v>275</v>
      </c>
      <c r="B816" s="1">
        <v>17999355</v>
      </c>
      <c r="C816" s="1" t="s">
        <v>7420</v>
      </c>
      <c r="E816" s="21">
        <v>133</v>
      </c>
      <c r="G816" s="1" t="s">
        <v>276</v>
      </c>
      <c r="H816" s="1" t="s">
        <v>137</v>
      </c>
      <c r="I816" s="5">
        <v>39370</v>
      </c>
      <c r="J816" s="18" t="s">
        <v>11</v>
      </c>
      <c r="K816" s="1" t="s">
        <v>16</v>
      </c>
      <c r="L816" s="1" t="s">
        <v>274</v>
      </c>
      <c r="M816" s="5"/>
      <c r="N816" s="5" t="s">
        <v>10</v>
      </c>
      <c r="O816" s="5" t="s">
        <v>10</v>
      </c>
      <c r="P816" s="1" t="s">
        <v>3681</v>
      </c>
      <c r="Q816" s="1" t="s">
        <v>3682</v>
      </c>
      <c r="R816" s="2" t="s">
        <v>4141</v>
      </c>
      <c r="S816" s="1" t="s">
        <v>6432</v>
      </c>
      <c r="T816" s="1">
        <v>968</v>
      </c>
      <c r="U816" s="1">
        <v>737</v>
      </c>
      <c r="Y816" s="1">
        <v>737</v>
      </c>
      <c r="AH816" s="1">
        <v>231</v>
      </c>
      <c r="AL816" s="1">
        <v>231</v>
      </c>
    </row>
    <row r="817" spans="1:44" x14ac:dyDescent="0.2">
      <c r="A817" s="1" t="s">
        <v>292</v>
      </c>
      <c r="B817" s="1">
        <v>18003638</v>
      </c>
      <c r="C817" s="1" t="s">
        <v>7420</v>
      </c>
      <c r="E817" s="21">
        <v>13</v>
      </c>
      <c r="G817" s="1" t="s">
        <v>293</v>
      </c>
      <c r="H817" s="1" t="s">
        <v>7222</v>
      </c>
      <c r="I817" s="5">
        <v>39400</v>
      </c>
      <c r="J817" s="18" t="s">
        <v>10</v>
      </c>
      <c r="K817" s="1" t="s">
        <v>103</v>
      </c>
      <c r="L817" s="1" t="s">
        <v>2812</v>
      </c>
      <c r="M817" s="5"/>
      <c r="N817" s="5" t="s">
        <v>10</v>
      </c>
      <c r="O817" s="5" t="s">
        <v>10</v>
      </c>
      <c r="P817" s="1" t="s">
        <v>3370</v>
      </c>
      <c r="Q817" s="1" t="s">
        <v>3371</v>
      </c>
      <c r="R817" s="2" t="s">
        <v>5941</v>
      </c>
      <c r="S817" s="1" t="s">
        <v>6242</v>
      </c>
      <c r="T817" s="1">
        <v>2444</v>
      </c>
      <c r="U817" s="1">
        <v>940</v>
      </c>
      <c r="X817" s="1">
        <v>940</v>
      </c>
      <c r="AH817" s="1">
        <v>1504</v>
      </c>
      <c r="AK817" s="1">
        <v>1504</v>
      </c>
    </row>
    <row r="818" spans="1:44" x14ac:dyDescent="0.2">
      <c r="A818" s="1" t="s">
        <v>309</v>
      </c>
      <c r="B818" s="1">
        <v>18057069</v>
      </c>
      <c r="C818" s="1" t="s">
        <v>7420</v>
      </c>
      <c r="E818" s="21">
        <v>43</v>
      </c>
      <c r="G818" s="1" t="s">
        <v>57</v>
      </c>
      <c r="H818" s="1" t="s">
        <v>7142</v>
      </c>
      <c r="I818" s="5">
        <v>39431</v>
      </c>
      <c r="J818" s="18" t="s">
        <v>11</v>
      </c>
      <c r="K818" s="1" t="s">
        <v>103</v>
      </c>
      <c r="L818" s="1" t="s">
        <v>308</v>
      </c>
      <c r="M818" s="5"/>
      <c r="N818" s="5" t="s">
        <v>10</v>
      </c>
      <c r="O818" s="5" t="s">
        <v>10</v>
      </c>
      <c r="P818" s="1" t="s">
        <v>3785</v>
      </c>
      <c r="Q818" s="1" t="s">
        <v>3786</v>
      </c>
      <c r="R818" s="2" t="s">
        <v>5734</v>
      </c>
      <c r="S818" s="1" t="s">
        <v>6243</v>
      </c>
      <c r="T818" s="1">
        <v>1890</v>
      </c>
      <c r="U818" s="1">
        <v>432</v>
      </c>
      <c r="V818" s="1">
        <v>432</v>
      </c>
      <c r="AH818" s="1">
        <v>1458</v>
      </c>
      <c r="AI818" s="1">
        <v>1458</v>
      </c>
    </row>
    <row r="819" spans="1:44" x14ac:dyDescent="0.2">
      <c r="A819" s="1" t="s">
        <v>300</v>
      </c>
      <c r="B819" s="1">
        <v>18058064</v>
      </c>
      <c r="C819" s="1" t="s">
        <v>7420</v>
      </c>
      <c r="E819" s="21">
        <v>4</v>
      </c>
      <c r="G819" s="1" t="s">
        <v>218</v>
      </c>
      <c r="H819" s="1" t="s">
        <v>7376</v>
      </c>
      <c r="I819" s="5">
        <v>39422</v>
      </c>
      <c r="J819" s="18" t="s">
        <v>10</v>
      </c>
      <c r="K819" s="1" t="s">
        <v>689</v>
      </c>
      <c r="L819" s="1" t="s">
        <v>2813</v>
      </c>
      <c r="M819" s="5"/>
      <c r="N819" s="5" t="s">
        <v>10</v>
      </c>
      <c r="O819" s="5" t="s">
        <v>10</v>
      </c>
      <c r="P819" s="1" t="s">
        <v>3396</v>
      </c>
      <c r="Q819" s="1" t="s">
        <v>3397</v>
      </c>
      <c r="R819" s="2" t="s">
        <v>4991</v>
      </c>
      <c r="S819" s="1" t="s">
        <v>6242</v>
      </c>
      <c r="T819" s="1">
        <v>1081</v>
      </c>
      <c r="U819" s="1">
        <v>632</v>
      </c>
      <c r="X819" s="1">
        <v>632</v>
      </c>
      <c r="AH819" s="1">
        <v>449</v>
      </c>
      <c r="AK819" s="1">
        <v>449</v>
      </c>
    </row>
    <row r="820" spans="1:44" x14ac:dyDescent="0.2">
      <c r="A820" s="1" t="s">
        <v>304</v>
      </c>
      <c r="B820" s="1">
        <v>18067574</v>
      </c>
      <c r="C820" s="1" t="s">
        <v>7420</v>
      </c>
      <c r="E820" s="21">
        <v>6</v>
      </c>
      <c r="G820" s="1" t="s">
        <v>6832</v>
      </c>
      <c r="H820" s="1" t="s">
        <v>40</v>
      </c>
      <c r="I820" s="5">
        <v>39423</v>
      </c>
      <c r="J820" s="18" t="s">
        <v>11</v>
      </c>
      <c r="K820" s="1" t="s">
        <v>302</v>
      </c>
      <c r="L820" s="1" t="s">
        <v>303</v>
      </c>
      <c r="M820" s="5"/>
      <c r="N820" s="5" t="s">
        <v>10</v>
      </c>
      <c r="O820" s="5" t="s">
        <v>10</v>
      </c>
      <c r="P820" s="1" t="s">
        <v>3621</v>
      </c>
      <c r="Q820" s="1" t="s">
        <v>4309</v>
      </c>
      <c r="R820" s="2" t="s">
        <v>5968</v>
      </c>
      <c r="S820" s="1" t="s">
        <v>6243</v>
      </c>
      <c r="T820" s="1">
        <v>4055</v>
      </c>
      <c r="U820" s="1">
        <v>860</v>
      </c>
      <c r="V820" s="1">
        <v>860</v>
      </c>
      <c r="AH820" s="1">
        <v>3195</v>
      </c>
      <c r="AI820" s="1">
        <v>3195</v>
      </c>
    </row>
    <row r="821" spans="1:44" x14ac:dyDescent="0.2">
      <c r="A821" s="1" t="s">
        <v>313</v>
      </c>
      <c r="B821" s="1">
        <v>18073375</v>
      </c>
      <c r="C821" s="1" t="s">
        <v>7420</v>
      </c>
      <c r="E821" s="21">
        <v>84</v>
      </c>
      <c r="G821" s="1" t="s">
        <v>77</v>
      </c>
      <c r="H821" s="1" t="s">
        <v>6689</v>
      </c>
      <c r="I821" s="5">
        <v>39435</v>
      </c>
      <c r="J821" s="18" t="s">
        <v>11</v>
      </c>
      <c r="K821" s="1" t="s">
        <v>311</v>
      </c>
      <c r="L821" s="1" t="s">
        <v>312</v>
      </c>
      <c r="M821" s="5"/>
      <c r="N821" s="5" t="s">
        <v>11</v>
      </c>
      <c r="O821" s="5" t="s">
        <v>11</v>
      </c>
      <c r="P821" s="1" t="s">
        <v>6123</v>
      </c>
      <c r="Q821" s="1" t="s">
        <v>6254</v>
      </c>
      <c r="R821" s="2" t="s">
        <v>6029</v>
      </c>
      <c r="S821" s="1" t="s">
        <v>6244</v>
      </c>
      <c r="T821" s="1">
        <v>4993</v>
      </c>
      <c r="U821" s="1">
        <v>2834</v>
      </c>
      <c r="V821" s="1">
        <v>2834</v>
      </c>
      <c r="AH821" s="1">
        <v>2159</v>
      </c>
      <c r="AI821" s="1">
        <v>1603</v>
      </c>
      <c r="AJ821" s="1">
        <v>556</v>
      </c>
    </row>
    <row r="822" spans="1:44" x14ac:dyDescent="0.2">
      <c r="A822" s="1" t="s">
        <v>298</v>
      </c>
      <c r="B822" s="1">
        <v>18075462</v>
      </c>
      <c r="C822" s="1" t="s">
        <v>7420</v>
      </c>
      <c r="E822" s="21">
        <v>13</v>
      </c>
      <c r="G822" s="1" t="s">
        <v>299</v>
      </c>
      <c r="H822" s="1" t="s">
        <v>7186</v>
      </c>
      <c r="I822" s="5">
        <v>39401</v>
      </c>
      <c r="J822" s="18" t="s">
        <v>11</v>
      </c>
      <c r="K822" s="1" t="s">
        <v>294</v>
      </c>
      <c r="L822" s="1" t="s">
        <v>295</v>
      </c>
      <c r="M822" s="5"/>
      <c r="N822" s="5" t="s">
        <v>11</v>
      </c>
      <c r="O822" s="5" t="s">
        <v>11</v>
      </c>
      <c r="P822" s="1" t="s">
        <v>296</v>
      </c>
      <c r="Q822" s="1" t="s">
        <v>297</v>
      </c>
      <c r="R822" s="2" t="s">
        <v>5896</v>
      </c>
      <c r="S822" s="1" t="s">
        <v>6242</v>
      </c>
      <c r="T822" s="1">
        <v>411</v>
      </c>
      <c r="U822" s="1">
        <v>100</v>
      </c>
      <c r="X822" s="1">
        <v>100</v>
      </c>
      <c r="AH822" s="1">
        <v>311</v>
      </c>
      <c r="AK822" s="1">
        <v>311</v>
      </c>
    </row>
    <row r="823" spans="1:44" x14ac:dyDescent="0.2">
      <c r="A823" s="1" t="s">
        <v>203</v>
      </c>
      <c r="B823" s="1">
        <v>18084291</v>
      </c>
      <c r="C823" s="1" t="s">
        <v>7420</v>
      </c>
      <c r="E823" s="21">
        <v>51</v>
      </c>
      <c r="G823" s="1" t="s">
        <v>57</v>
      </c>
      <c r="H823" s="1" t="s">
        <v>7142</v>
      </c>
      <c r="I823" s="5">
        <v>39432</v>
      </c>
      <c r="J823" s="18" t="s">
        <v>11</v>
      </c>
      <c r="K823" s="1" t="s">
        <v>28</v>
      </c>
      <c r="L823" s="1" t="s">
        <v>310</v>
      </c>
      <c r="M823" s="5"/>
      <c r="N823" s="5" t="s">
        <v>10</v>
      </c>
      <c r="O823" s="5" t="s">
        <v>10</v>
      </c>
      <c r="P823" s="1" t="s">
        <v>3529</v>
      </c>
      <c r="Q823" s="1" t="s">
        <v>3530</v>
      </c>
      <c r="R823" s="2" t="s">
        <v>5804</v>
      </c>
      <c r="S823" s="1" t="s">
        <v>6243</v>
      </c>
      <c r="T823" s="1">
        <v>3683</v>
      </c>
      <c r="U823" s="1">
        <v>1458</v>
      </c>
      <c r="V823" s="1">
        <v>1458</v>
      </c>
      <c r="AH823" s="1">
        <v>2225</v>
      </c>
      <c r="AI823" s="1">
        <v>2225</v>
      </c>
    </row>
    <row r="824" spans="1:44" x14ac:dyDescent="0.2">
      <c r="A824" s="1" t="s">
        <v>315</v>
      </c>
      <c r="B824" s="1">
        <v>18159244</v>
      </c>
      <c r="C824" s="1" t="s">
        <v>7420</v>
      </c>
      <c r="E824" s="21">
        <v>43</v>
      </c>
      <c r="G824" s="1" t="s">
        <v>2566</v>
      </c>
      <c r="H824" s="1" t="s">
        <v>7302</v>
      </c>
      <c r="I824" s="5">
        <v>39442</v>
      </c>
      <c r="J824" s="18" t="s">
        <v>11</v>
      </c>
      <c r="K824" s="1" t="s">
        <v>181</v>
      </c>
      <c r="L824" s="1" t="s">
        <v>314</v>
      </c>
      <c r="M824" s="5"/>
      <c r="N824" s="5" t="s">
        <v>10</v>
      </c>
      <c r="O824" s="5" t="s">
        <v>10</v>
      </c>
      <c r="P824" s="1" t="s">
        <v>3602</v>
      </c>
      <c r="Q824" s="1" t="s">
        <v>4150</v>
      </c>
      <c r="R824" s="2" t="s">
        <v>5892</v>
      </c>
      <c r="S824" s="1" t="s">
        <v>6243</v>
      </c>
      <c r="T824" s="1">
        <v>3198</v>
      </c>
      <c r="U824" s="1">
        <v>929</v>
      </c>
      <c r="V824" s="1">
        <v>929</v>
      </c>
      <c r="AH824" s="1">
        <v>2269</v>
      </c>
      <c r="AI824" s="1">
        <v>2269</v>
      </c>
    </row>
    <row r="825" spans="1:44" x14ac:dyDescent="0.2">
      <c r="A825" s="1" t="s">
        <v>316</v>
      </c>
      <c r="B825" s="1">
        <v>18178869</v>
      </c>
      <c r="C825" s="1" t="s">
        <v>7420</v>
      </c>
      <c r="E825" s="21">
        <v>106</v>
      </c>
      <c r="G825" s="1" t="s">
        <v>6992</v>
      </c>
      <c r="H825" s="1" t="s">
        <v>7297</v>
      </c>
      <c r="I825" s="5">
        <v>39451</v>
      </c>
      <c r="J825" s="18" t="s">
        <v>10</v>
      </c>
      <c r="K825" s="1" t="s">
        <v>455</v>
      </c>
      <c r="L825" s="1" t="s">
        <v>2814</v>
      </c>
      <c r="M825" s="5"/>
      <c r="N825" s="5" t="s">
        <v>10</v>
      </c>
      <c r="O825" s="5" t="s">
        <v>10</v>
      </c>
      <c r="P825" s="1" t="s">
        <v>3378</v>
      </c>
      <c r="Q825" s="1" t="s">
        <v>33</v>
      </c>
      <c r="R825" s="2" t="s">
        <v>5970</v>
      </c>
      <c r="S825" s="1" t="s">
        <v>6242</v>
      </c>
      <c r="T825" s="1">
        <v>95</v>
      </c>
      <c r="U825" s="1">
        <v>95</v>
      </c>
      <c r="X825" s="1">
        <v>95</v>
      </c>
    </row>
    <row r="826" spans="1:44" x14ac:dyDescent="0.2">
      <c r="A826" s="1" t="s">
        <v>320</v>
      </c>
      <c r="B826" s="1">
        <v>18179892</v>
      </c>
      <c r="C826" s="1" t="s">
        <v>7420</v>
      </c>
      <c r="E826" s="21">
        <v>49</v>
      </c>
      <c r="G826" s="1" t="s">
        <v>6924</v>
      </c>
      <c r="H826" s="1" t="s">
        <v>7285</v>
      </c>
      <c r="I826" s="5">
        <v>39457</v>
      </c>
      <c r="J826" s="18" t="s">
        <v>11</v>
      </c>
      <c r="K826" s="1" t="s">
        <v>16</v>
      </c>
      <c r="L826" s="1" t="s">
        <v>319</v>
      </c>
      <c r="M826" s="5"/>
      <c r="N826" s="5" t="s">
        <v>10</v>
      </c>
      <c r="O826" s="5" t="s">
        <v>10</v>
      </c>
      <c r="P826" s="1" t="s">
        <v>5627</v>
      </c>
      <c r="Q826" s="1" t="s">
        <v>5628</v>
      </c>
      <c r="R826" s="2" t="s">
        <v>5856</v>
      </c>
      <c r="S826" s="1" t="s">
        <v>6243</v>
      </c>
      <c r="T826" s="1">
        <v>5449</v>
      </c>
      <c r="U826" s="1">
        <v>1955</v>
      </c>
      <c r="V826" s="1">
        <v>1955</v>
      </c>
      <c r="AH826" s="1">
        <v>3494</v>
      </c>
      <c r="AI826" s="1">
        <v>3494</v>
      </c>
    </row>
    <row r="827" spans="1:44" x14ac:dyDescent="0.2">
      <c r="A827" s="1" t="s">
        <v>30</v>
      </c>
      <c r="B827" s="1">
        <v>18179894</v>
      </c>
      <c r="C827" s="1" t="s">
        <v>7420</v>
      </c>
      <c r="D827" s="1" t="s">
        <v>7411</v>
      </c>
      <c r="E827" s="21">
        <v>1</v>
      </c>
      <c r="G827" s="1" t="s">
        <v>317</v>
      </c>
      <c r="H827" s="1" t="s">
        <v>318</v>
      </c>
      <c r="I827" s="5">
        <v>39457</v>
      </c>
      <c r="J827" s="18" t="s">
        <v>10</v>
      </c>
      <c r="K827" s="1" t="s">
        <v>16</v>
      </c>
      <c r="L827" s="1" t="s">
        <v>2815</v>
      </c>
      <c r="M827" s="5"/>
      <c r="N827" s="5" t="s">
        <v>10</v>
      </c>
      <c r="O827" s="5" t="s">
        <v>10</v>
      </c>
      <c r="P827" s="1" t="s">
        <v>3848</v>
      </c>
      <c r="Q827" s="1" t="s">
        <v>3847</v>
      </c>
      <c r="R827" s="2" t="s">
        <v>5946</v>
      </c>
      <c r="S827" s="1" t="s">
        <v>6248</v>
      </c>
      <c r="T827" s="1">
        <v>4325</v>
      </c>
      <c r="U827" s="1">
        <v>440</v>
      </c>
      <c r="AE827" s="1">
        <v>440</v>
      </c>
      <c r="AH827" s="1">
        <v>3885</v>
      </c>
      <c r="AR827" s="1">
        <v>3885</v>
      </c>
    </row>
    <row r="828" spans="1:44" x14ac:dyDescent="0.2">
      <c r="A828" s="1" t="s">
        <v>329</v>
      </c>
      <c r="B828" s="1">
        <v>18193043</v>
      </c>
      <c r="C828" s="1" t="s">
        <v>7420</v>
      </c>
      <c r="E828" s="21">
        <v>118</v>
      </c>
      <c r="G828" s="1" t="s">
        <v>242</v>
      </c>
      <c r="H828" s="1" t="s">
        <v>7160</v>
      </c>
      <c r="I828" s="5">
        <v>39460</v>
      </c>
      <c r="J828" s="18" t="s">
        <v>11</v>
      </c>
      <c r="K828" s="1" t="s">
        <v>28</v>
      </c>
      <c r="L828" s="1" t="s">
        <v>328</v>
      </c>
      <c r="M828" s="5"/>
      <c r="N828" s="5" t="s">
        <v>10</v>
      </c>
      <c r="O828" s="5" t="s">
        <v>10</v>
      </c>
      <c r="P828" s="1" t="s">
        <v>3488</v>
      </c>
      <c r="Q828" s="1" t="s">
        <v>3944</v>
      </c>
      <c r="R828" s="2" t="s">
        <v>6049</v>
      </c>
      <c r="S828" s="1" t="s">
        <v>6243</v>
      </c>
      <c r="T828" s="1">
        <v>20055</v>
      </c>
      <c r="U828" s="1">
        <v>8656</v>
      </c>
      <c r="V828" s="1">
        <v>8656</v>
      </c>
      <c r="AH828" s="1">
        <v>11399</v>
      </c>
      <c r="AI828" s="1">
        <v>11399</v>
      </c>
    </row>
    <row r="829" spans="1:44" x14ac:dyDescent="0.2">
      <c r="A829" s="1" t="s">
        <v>241</v>
      </c>
      <c r="B829" s="1">
        <v>18193044</v>
      </c>
      <c r="C829" s="1" t="s">
        <v>7420</v>
      </c>
      <c r="E829" s="21">
        <v>20</v>
      </c>
      <c r="G829" s="1" t="s">
        <v>242</v>
      </c>
      <c r="H829" s="1" t="s">
        <v>7160</v>
      </c>
      <c r="I829" s="5">
        <v>39460</v>
      </c>
      <c r="J829" s="18" t="s">
        <v>11</v>
      </c>
      <c r="K829" s="1" t="s">
        <v>28</v>
      </c>
      <c r="L829" s="1" t="s">
        <v>321</v>
      </c>
      <c r="M829" s="5"/>
      <c r="N829" s="5" t="s">
        <v>10</v>
      </c>
      <c r="O829" s="5" t="s">
        <v>10</v>
      </c>
      <c r="P829" s="1" t="s">
        <v>3825</v>
      </c>
      <c r="Q829" s="1" t="s">
        <v>6424</v>
      </c>
      <c r="R829" s="2" t="s">
        <v>5865</v>
      </c>
      <c r="S829" s="1" t="s">
        <v>6244</v>
      </c>
      <c r="T829" s="1">
        <v>25561</v>
      </c>
      <c r="U829" s="1">
        <v>2758</v>
      </c>
      <c r="V829" s="1">
        <v>2758</v>
      </c>
      <c r="AH829" s="1">
        <v>22803</v>
      </c>
      <c r="AI829" s="1">
        <v>18544</v>
      </c>
      <c r="AK829" s="1">
        <v>4259</v>
      </c>
    </row>
    <row r="830" spans="1:44" x14ac:dyDescent="0.2">
      <c r="A830" s="1" t="s">
        <v>324</v>
      </c>
      <c r="B830" s="1">
        <v>18193045</v>
      </c>
      <c r="C830" s="1" t="s">
        <v>7420</v>
      </c>
      <c r="E830" s="21">
        <v>74</v>
      </c>
      <c r="G830" s="1" t="s">
        <v>197</v>
      </c>
      <c r="H830" s="1" t="s">
        <v>7270</v>
      </c>
      <c r="I830" s="5">
        <v>39460</v>
      </c>
      <c r="J830" s="18" t="s">
        <v>11</v>
      </c>
      <c r="K830" s="1" t="s">
        <v>28</v>
      </c>
      <c r="L830" s="1" t="s">
        <v>323</v>
      </c>
      <c r="M830" s="5"/>
      <c r="N830" s="5" t="s">
        <v>10</v>
      </c>
      <c r="O830" s="5" t="s">
        <v>10</v>
      </c>
      <c r="P830" s="1" t="s">
        <v>3549</v>
      </c>
      <c r="Q830" s="1" t="s">
        <v>3550</v>
      </c>
      <c r="R830" s="2" t="s">
        <v>6049</v>
      </c>
      <c r="S830" s="1" t="s">
        <v>6244</v>
      </c>
      <c r="T830" s="1">
        <v>35470</v>
      </c>
      <c r="U830" s="1">
        <v>6669</v>
      </c>
      <c r="V830" s="1">
        <v>6669</v>
      </c>
      <c r="AH830" s="1">
        <v>28801</v>
      </c>
      <c r="AI830" s="1">
        <v>24606</v>
      </c>
      <c r="AJ830" s="1">
        <v>4195</v>
      </c>
    </row>
    <row r="831" spans="1:44" x14ac:dyDescent="0.2">
      <c r="A831" s="1" t="s">
        <v>326</v>
      </c>
      <c r="B831" s="1">
        <v>18193046</v>
      </c>
      <c r="C831" s="1" t="s">
        <v>7420</v>
      </c>
      <c r="E831" s="21">
        <v>22</v>
      </c>
      <c r="G831" s="1" t="s">
        <v>6997</v>
      </c>
      <c r="H831" s="1" t="s">
        <v>7267</v>
      </c>
      <c r="I831" s="5">
        <v>39460</v>
      </c>
      <c r="J831" s="18" t="s">
        <v>11</v>
      </c>
      <c r="K831" s="1" t="s">
        <v>28</v>
      </c>
      <c r="L831" s="1" t="s">
        <v>325</v>
      </c>
      <c r="M831" s="5"/>
      <c r="N831" s="5" t="s">
        <v>11</v>
      </c>
      <c r="O831" s="5" t="s">
        <v>10</v>
      </c>
      <c r="P831" s="1" t="s">
        <v>3861</v>
      </c>
      <c r="Q831" s="1" t="s">
        <v>3862</v>
      </c>
      <c r="R831" s="2" t="s">
        <v>5929</v>
      </c>
      <c r="S831" s="1" t="s">
        <v>6244</v>
      </c>
      <c r="T831" s="1">
        <v>12547</v>
      </c>
      <c r="U831" s="1">
        <v>2011</v>
      </c>
      <c r="V831" s="1">
        <v>1005</v>
      </c>
      <c r="Y831" s="1">
        <v>1006</v>
      </c>
      <c r="AH831" s="1">
        <v>10536</v>
      </c>
      <c r="AI831" s="1">
        <v>6827</v>
      </c>
      <c r="AL831" s="1">
        <v>1181</v>
      </c>
      <c r="AM831" s="1">
        <v>2528</v>
      </c>
    </row>
    <row r="832" spans="1:44" x14ac:dyDescent="0.2">
      <c r="A832" s="1" t="s">
        <v>1030</v>
      </c>
      <c r="B832" s="11">
        <v>18193047</v>
      </c>
      <c r="C832" s="1" t="s">
        <v>7420</v>
      </c>
      <c r="E832" s="21">
        <v>708</v>
      </c>
      <c r="F832" s="17">
        <v>1</v>
      </c>
      <c r="G832" s="1" t="s">
        <v>6829</v>
      </c>
      <c r="H832" s="1" t="s">
        <v>7347</v>
      </c>
      <c r="I832" s="5">
        <v>39460</v>
      </c>
      <c r="J832" s="18" t="s">
        <v>10</v>
      </c>
      <c r="K832" s="15" t="s">
        <v>28</v>
      </c>
      <c r="L832" s="15" t="s">
        <v>6484</v>
      </c>
      <c r="N832" s="5" t="s">
        <v>10</v>
      </c>
      <c r="O832" s="5" t="s">
        <v>10</v>
      </c>
      <c r="P832" s="2" t="s">
        <v>5346</v>
      </c>
      <c r="Q832" s="1" t="s">
        <v>33</v>
      </c>
      <c r="R832" s="1" t="s">
        <v>3340</v>
      </c>
      <c r="S832" s="1" t="s">
        <v>6243</v>
      </c>
      <c r="T832" s="1">
        <v>60</v>
      </c>
      <c r="U832" s="1">
        <v>60</v>
      </c>
      <c r="V832" s="1">
        <v>60</v>
      </c>
    </row>
    <row r="833" spans="1:37" x14ac:dyDescent="0.2">
      <c r="A833" s="1" t="s">
        <v>331</v>
      </c>
      <c r="B833" s="1">
        <v>18195134</v>
      </c>
      <c r="C833" s="1" t="s">
        <v>7420</v>
      </c>
      <c r="E833" s="21">
        <v>48</v>
      </c>
      <c r="G833" s="1" t="s">
        <v>332</v>
      </c>
      <c r="H833" s="1" t="s">
        <v>7182</v>
      </c>
      <c r="I833" s="5">
        <v>39461</v>
      </c>
      <c r="J833" s="18" t="s">
        <v>11</v>
      </c>
      <c r="K833" s="1" t="s">
        <v>290</v>
      </c>
      <c r="L833" s="1" t="s">
        <v>330</v>
      </c>
      <c r="M833" s="5"/>
      <c r="N833" s="5" t="s">
        <v>10</v>
      </c>
      <c r="O833" s="5" t="s">
        <v>10</v>
      </c>
      <c r="P833" s="1" t="s">
        <v>3780</v>
      </c>
      <c r="Q833" s="1" t="s">
        <v>33</v>
      </c>
      <c r="R833" s="2" t="s">
        <v>5962</v>
      </c>
      <c r="S833" s="1" t="s">
        <v>6243</v>
      </c>
      <c r="T833" s="1">
        <v>206</v>
      </c>
      <c r="U833" s="1">
        <v>206</v>
      </c>
      <c r="V833" s="1">
        <v>206</v>
      </c>
    </row>
    <row r="834" spans="1:37" x14ac:dyDescent="0.2">
      <c r="A834" s="1" t="s">
        <v>154</v>
      </c>
      <c r="B834" s="1">
        <v>18198356</v>
      </c>
      <c r="C834" s="1" t="s">
        <v>7420</v>
      </c>
      <c r="E834" s="21">
        <v>27</v>
      </c>
      <c r="G834" s="1" t="s">
        <v>155</v>
      </c>
      <c r="H834" s="1" t="s">
        <v>7400</v>
      </c>
      <c r="I834" s="5">
        <v>39462</v>
      </c>
      <c r="J834" s="18" t="s">
        <v>11</v>
      </c>
      <c r="K834" s="1" t="s">
        <v>90</v>
      </c>
      <c r="L834" s="1" t="s">
        <v>333</v>
      </c>
      <c r="M834" s="5"/>
      <c r="N834" s="5" t="s">
        <v>10</v>
      </c>
      <c r="O834" s="5" t="s">
        <v>10</v>
      </c>
      <c r="P834" s="1" t="s">
        <v>3614</v>
      </c>
      <c r="Q834" s="1" t="s">
        <v>3615</v>
      </c>
      <c r="R834" s="2" t="s">
        <v>5694</v>
      </c>
      <c r="S834" s="1" t="s">
        <v>6243</v>
      </c>
      <c r="T834" s="1">
        <v>4275</v>
      </c>
      <c r="U834" s="1">
        <v>3105</v>
      </c>
      <c r="V834" s="1">
        <v>3105</v>
      </c>
      <c r="AH834" s="1">
        <v>1170</v>
      </c>
      <c r="AI834" s="1">
        <v>1170</v>
      </c>
    </row>
    <row r="835" spans="1:37" x14ac:dyDescent="0.2">
      <c r="A835" s="1" t="s">
        <v>339</v>
      </c>
      <c r="B835" s="1">
        <v>18204098</v>
      </c>
      <c r="C835" s="1" t="s">
        <v>7420</v>
      </c>
      <c r="E835" s="21">
        <v>61</v>
      </c>
      <c r="G835" s="1" t="s">
        <v>218</v>
      </c>
      <c r="H835" s="1" t="s">
        <v>7376</v>
      </c>
      <c r="I835" s="5">
        <v>39467</v>
      </c>
      <c r="J835" s="18" t="s">
        <v>11</v>
      </c>
      <c r="K835" s="1" t="s">
        <v>157</v>
      </c>
      <c r="L835" s="1" t="s">
        <v>338</v>
      </c>
      <c r="M835" s="5"/>
      <c r="N835" s="5" t="s">
        <v>10</v>
      </c>
      <c r="O835" s="5" t="s">
        <v>10</v>
      </c>
      <c r="P835" s="1" t="s">
        <v>3739</v>
      </c>
      <c r="Q835" s="1" t="s">
        <v>3740</v>
      </c>
      <c r="R835" s="2" t="s">
        <v>5692</v>
      </c>
      <c r="S835" s="1" t="s">
        <v>6243</v>
      </c>
      <c r="T835" s="1">
        <v>6301</v>
      </c>
      <c r="U835" s="1">
        <v>4651</v>
      </c>
      <c r="V835" s="1">
        <v>4651</v>
      </c>
      <c r="AH835" s="1">
        <v>1650</v>
      </c>
      <c r="AI835" s="1">
        <v>1650</v>
      </c>
    </row>
    <row r="836" spans="1:37" x14ac:dyDescent="0.2">
      <c r="A836" s="1" t="s">
        <v>335</v>
      </c>
      <c r="B836" s="1">
        <v>18204446</v>
      </c>
      <c r="C836" s="1" t="s">
        <v>7420</v>
      </c>
      <c r="E836" s="21">
        <v>47</v>
      </c>
      <c r="G836" s="1" t="s">
        <v>6707</v>
      </c>
      <c r="H836" s="1" t="s">
        <v>7373</v>
      </c>
      <c r="I836" s="5">
        <v>39467</v>
      </c>
      <c r="J836" s="18" t="s">
        <v>11</v>
      </c>
      <c r="K836" s="1" t="s">
        <v>28</v>
      </c>
      <c r="L836" s="1" t="s">
        <v>334</v>
      </c>
      <c r="M836" s="5"/>
      <c r="N836" s="5" t="s">
        <v>11</v>
      </c>
      <c r="O836" s="5" t="s">
        <v>11</v>
      </c>
      <c r="P836" s="1" t="s">
        <v>3533</v>
      </c>
      <c r="Q836" s="1" t="s">
        <v>3937</v>
      </c>
      <c r="R836" s="2" t="s">
        <v>4709</v>
      </c>
      <c r="S836" s="1" t="s">
        <v>6243</v>
      </c>
      <c r="T836" s="1">
        <v>6728</v>
      </c>
      <c r="U836" s="1">
        <v>3057</v>
      </c>
      <c r="V836" s="1">
        <v>3057</v>
      </c>
      <c r="AH836" s="1">
        <v>3671</v>
      </c>
      <c r="AI836" s="1">
        <v>3671</v>
      </c>
    </row>
    <row r="837" spans="1:37" x14ac:dyDescent="0.2">
      <c r="A837" s="1" t="s">
        <v>337</v>
      </c>
      <c r="B837" s="1">
        <v>18204447</v>
      </c>
      <c r="C837" s="1" t="s">
        <v>7420</v>
      </c>
      <c r="E837" s="21">
        <v>11</v>
      </c>
      <c r="G837" s="1" t="s">
        <v>218</v>
      </c>
      <c r="H837" s="1" t="s">
        <v>7376</v>
      </c>
      <c r="I837" s="5">
        <v>39467</v>
      </c>
      <c r="J837" s="18" t="s">
        <v>11</v>
      </c>
      <c r="K837" s="1" t="s">
        <v>28</v>
      </c>
      <c r="L837" s="1" t="s">
        <v>336</v>
      </c>
      <c r="M837" s="5"/>
      <c r="N837" s="5" t="s">
        <v>10</v>
      </c>
      <c r="O837" s="5" t="s">
        <v>10</v>
      </c>
      <c r="P837" s="1" t="s">
        <v>3821</v>
      </c>
      <c r="Q837" s="1" t="s">
        <v>3822</v>
      </c>
      <c r="R837" s="2" t="s">
        <v>5866</v>
      </c>
      <c r="S837" s="1" t="s">
        <v>6243</v>
      </c>
      <c r="T837" s="1">
        <v>4134</v>
      </c>
      <c r="U837" s="1">
        <v>794</v>
      </c>
      <c r="V837" s="1">
        <v>794</v>
      </c>
      <c r="AH837" s="1">
        <v>3340</v>
      </c>
      <c r="AI837" s="1">
        <v>3340</v>
      </c>
    </row>
    <row r="838" spans="1:37" x14ac:dyDescent="0.2">
      <c r="A838" s="1" t="s">
        <v>2551</v>
      </c>
      <c r="B838" s="1">
        <v>18219441</v>
      </c>
      <c r="C838" s="1" t="s">
        <v>7420</v>
      </c>
      <c r="E838" s="21">
        <v>42</v>
      </c>
      <c r="G838" s="1" t="s">
        <v>218</v>
      </c>
      <c r="H838" s="1" t="s">
        <v>7376</v>
      </c>
      <c r="I838" s="5">
        <v>39472</v>
      </c>
      <c r="J838" s="18" t="s">
        <v>10</v>
      </c>
      <c r="K838" s="1" t="s">
        <v>689</v>
      </c>
      <c r="L838" s="1" t="s">
        <v>2816</v>
      </c>
      <c r="N838" s="5" t="s">
        <v>10</v>
      </c>
      <c r="O838" s="5" t="s">
        <v>10</v>
      </c>
      <c r="P838" s="1" t="s">
        <v>3398</v>
      </c>
      <c r="Q838" s="1" t="s">
        <v>3399</v>
      </c>
      <c r="R838" s="2" t="s">
        <v>4991</v>
      </c>
      <c r="S838" s="1" t="s">
        <v>6242</v>
      </c>
      <c r="T838" s="1">
        <v>1074</v>
      </c>
      <c r="U838" s="1">
        <v>629</v>
      </c>
      <c r="X838" s="1">
        <v>629</v>
      </c>
      <c r="AH838" s="1">
        <v>445</v>
      </c>
      <c r="AK838" s="1">
        <v>445</v>
      </c>
    </row>
    <row r="839" spans="1:37" x14ac:dyDescent="0.2">
      <c r="A839" s="1" t="s">
        <v>344</v>
      </c>
      <c r="B839" s="1">
        <v>18227835</v>
      </c>
      <c r="C839" s="1" t="s">
        <v>7420</v>
      </c>
      <c r="E839" s="21">
        <v>15</v>
      </c>
      <c r="G839" s="1" t="s">
        <v>345</v>
      </c>
      <c r="H839" s="1" t="s">
        <v>7156</v>
      </c>
      <c r="I839" s="5">
        <v>39476</v>
      </c>
      <c r="J839" s="18" t="s">
        <v>11</v>
      </c>
      <c r="K839" s="1" t="s">
        <v>71</v>
      </c>
      <c r="L839" s="1" t="s">
        <v>343</v>
      </c>
      <c r="M839" s="5"/>
      <c r="N839" s="5" t="s">
        <v>10</v>
      </c>
      <c r="O839" s="5" t="s">
        <v>10</v>
      </c>
      <c r="P839" s="1" t="s">
        <v>3525</v>
      </c>
      <c r="Q839" s="1" t="s">
        <v>3526</v>
      </c>
      <c r="R839" s="2" t="s">
        <v>5912</v>
      </c>
      <c r="S839" s="1" t="s">
        <v>6243</v>
      </c>
      <c r="T839" s="1">
        <v>14981</v>
      </c>
      <c r="U839" s="1">
        <v>7481</v>
      </c>
      <c r="V839" s="1">
        <v>7481</v>
      </c>
      <c r="AH839" s="1">
        <v>7500</v>
      </c>
      <c r="AI839" s="1">
        <v>7500</v>
      </c>
    </row>
    <row r="840" spans="1:37" x14ac:dyDescent="0.2">
      <c r="A840" s="1" t="s">
        <v>347</v>
      </c>
      <c r="B840" s="1">
        <v>18239089</v>
      </c>
      <c r="C840" s="1" t="s">
        <v>7420</v>
      </c>
      <c r="D840" s="1" t="s">
        <v>7411</v>
      </c>
      <c r="E840" s="21">
        <v>3</v>
      </c>
      <c r="G840" s="1" t="s">
        <v>348</v>
      </c>
      <c r="H840" s="1" t="s">
        <v>7311</v>
      </c>
      <c r="I840" s="5">
        <v>39478</v>
      </c>
      <c r="J840" s="18" t="s">
        <v>11</v>
      </c>
      <c r="K840" s="1" t="s">
        <v>25</v>
      </c>
      <c r="L840" s="1" t="s">
        <v>346</v>
      </c>
      <c r="M840" s="5"/>
      <c r="N840" s="5" t="s">
        <v>11</v>
      </c>
      <c r="O840" s="5" t="s">
        <v>10</v>
      </c>
      <c r="P840" s="1" t="s">
        <v>7025</v>
      </c>
      <c r="Q840" s="1" t="s">
        <v>7026</v>
      </c>
      <c r="R840" s="2" t="s">
        <v>5711</v>
      </c>
      <c r="S840" s="1" t="s">
        <v>6243</v>
      </c>
      <c r="T840" s="1">
        <v>6500</v>
      </c>
      <c r="U840" s="1">
        <v>3589</v>
      </c>
      <c r="V840" s="1">
        <v>3589</v>
      </c>
      <c r="AH840" s="1">
        <v>2911</v>
      </c>
      <c r="AI840" s="1">
        <v>2911</v>
      </c>
    </row>
    <row r="841" spans="1:37" x14ac:dyDescent="0.2">
      <c r="A841" s="1" t="s">
        <v>350</v>
      </c>
      <c r="B841" s="1">
        <v>18245381</v>
      </c>
      <c r="C841" s="1" t="s">
        <v>7420</v>
      </c>
      <c r="E841" s="21">
        <v>151</v>
      </c>
      <c r="G841" s="1" t="s">
        <v>6763</v>
      </c>
      <c r="H841" s="1" t="s">
        <v>7219</v>
      </c>
      <c r="I841" s="5">
        <v>39483</v>
      </c>
      <c r="J841" s="18" t="s">
        <v>11</v>
      </c>
      <c r="K841" s="1" t="s">
        <v>210</v>
      </c>
      <c r="L841" s="1" t="s">
        <v>349</v>
      </c>
      <c r="M841" s="5"/>
      <c r="N841" s="5" t="s">
        <v>10</v>
      </c>
      <c r="O841" s="5" t="s">
        <v>10</v>
      </c>
      <c r="P841" s="1" t="s">
        <v>3632</v>
      </c>
      <c r="Q841" s="1" t="s">
        <v>3633</v>
      </c>
      <c r="R841" s="2" t="s">
        <v>4145</v>
      </c>
      <c r="S841" s="1" t="s">
        <v>6243</v>
      </c>
      <c r="T841" s="1">
        <v>4826</v>
      </c>
      <c r="U841" s="1">
        <v>4305</v>
      </c>
      <c r="V841" s="1">
        <v>4305</v>
      </c>
      <c r="AH841" s="1">
        <v>521</v>
      </c>
      <c r="AI841" s="1">
        <v>521</v>
      </c>
    </row>
    <row r="842" spans="1:37" x14ac:dyDescent="0.2">
      <c r="A842" s="1" t="s">
        <v>341</v>
      </c>
      <c r="B842" s="1">
        <v>18252221</v>
      </c>
      <c r="C842" s="1" t="s">
        <v>7420</v>
      </c>
      <c r="E842" s="21">
        <v>28</v>
      </c>
      <c r="G842" s="1" t="s">
        <v>342</v>
      </c>
      <c r="H842" s="1" t="s">
        <v>188</v>
      </c>
      <c r="I842" s="5">
        <v>39471</v>
      </c>
      <c r="J842" s="18" t="s">
        <v>11</v>
      </c>
      <c r="K842" s="1" t="s">
        <v>16</v>
      </c>
      <c r="L842" s="1" t="s">
        <v>340</v>
      </c>
      <c r="M842" s="5"/>
      <c r="N842" s="5" t="s">
        <v>10</v>
      </c>
      <c r="O842" s="5" t="s">
        <v>10</v>
      </c>
      <c r="P842" s="1" t="s">
        <v>3745</v>
      </c>
      <c r="Q842" s="1" t="s">
        <v>4784</v>
      </c>
      <c r="R842" s="2" t="s">
        <v>6015</v>
      </c>
      <c r="S842" s="1" t="s">
        <v>6243</v>
      </c>
      <c r="T842" s="1">
        <v>9679</v>
      </c>
      <c r="U842" s="1">
        <v>1406</v>
      </c>
      <c r="V842" s="1">
        <v>1406</v>
      </c>
      <c r="AH842" s="1">
        <v>8273</v>
      </c>
      <c r="AI842" s="1">
        <v>8273</v>
      </c>
    </row>
    <row r="843" spans="1:37" x14ac:dyDescent="0.2">
      <c r="A843" s="1" t="s">
        <v>353</v>
      </c>
      <c r="B843" s="1">
        <v>18262040</v>
      </c>
      <c r="C843" s="1" t="s">
        <v>7420</v>
      </c>
      <c r="E843" s="21">
        <v>27</v>
      </c>
      <c r="G843" s="1" t="s">
        <v>242</v>
      </c>
      <c r="H843" s="1" t="s">
        <v>7160</v>
      </c>
      <c r="I843" s="5">
        <v>39487</v>
      </c>
      <c r="J843" s="18" t="s">
        <v>11</v>
      </c>
      <c r="K843" s="1" t="s">
        <v>351</v>
      </c>
      <c r="L843" s="1" t="s">
        <v>352</v>
      </c>
      <c r="M843" s="5"/>
      <c r="N843" s="5" t="s">
        <v>10</v>
      </c>
      <c r="O843" s="5" t="s">
        <v>10</v>
      </c>
      <c r="P843" s="1" t="s">
        <v>3835</v>
      </c>
      <c r="Q843" s="1" t="s">
        <v>4514</v>
      </c>
      <c r="R843" s="2" t="s">
        <v>6017</v>
      </c>
      <c r="S843" s="1" t="s">
        <v>6243</v>
      </c>
      <c r="T843" s="1">
        <v>16721</v>
      </c>
      <c r="U843" s="1">
        <v>11685</v>
      </c>
      <c r="V843" s="1">
        <v>11685</v>
      </c>
      <c r="AH843" s="1">
        <v>5036</v>
      </c>
      <c r="AI843" s="1">
        <v>5036</v>
      </c>
    </row>
    <row r="844" spans="1:37" x14ac:dyDescent="0.2">
      <c r="A844" s="1" t="s">
        <v>359</v>
      </c>
      <c r="B844" s="1">
        <v>18264096</v>
      </c>
      <c r="C844" s="1" t="s">
        <v>7420</v>
      </c>
      <c r="E844" s="21">
        <v>194</v>
      </c>
      <c r="G844" s="1" t="s">
        <v>77</v>
      </c>
      <c r="H844" s="1" t="s">
        <v>6689</v>
      </c>
      <c r="I844" s="5">
        <v>39488</v>
      </c>
      <c r="J844" s="18" t="s">
        <v>11</v>
      </c>
      <c r="K844" s="1" t="s">
        <v>28</v>
      </c>
      <c r="L844" s="1" t="s">
        <v>358</v>
      </c>
      <c r="M844" s="5"/>
      <c r="N844" s="5" t="s">
        <v>11</v>
      </c>
      <c r="O844" s="5" t="s">
        <v>11</v>
      </c>
      <c r="P844" s="1" t="s">
        <v>3731</v>
      </c>
      <c r="Q844" s="1" t="s">
        <v>6255</v>
      </c>
      <c r="R844" s="2" t="s">
        <v>5686</v>
      </c>
      <c r="S844" s="1" t="s">
        <v>6243</v>
      </c>
      <c r="T844" s="1">
        <v>10234</v>
      </c>
      <c r="U844" s="1">
        <v>2329</v>
      </c>
      <c r="V844" s="1">
        <v>2329</v>
      </c>
      <c r="AH844" s="1">
        <v>7905</v>
      </c>
      <c r="AI844" s="1">
        <v>7905</v>
      </c>
    </row>
    <row r="845" spans="1:37" x14ac:dyDescent="0.2">
      <c r="A845" s="1" t="s">
        <v>356</v>
      </c>
      <c r="B845" s="1">
        <v>18264097</v>
      </c>
      <c r="C845" s="1" t="s">
        <v>7420</v>
      </c>
      <c r="E845" s="21">
        <v>53</v>
      </c>
      <c r="G845" s="1" t="s">
        <v>77</v>
      </c>
      <c r="H845" s="1" t="s">
        <v>6689</v>
      </c>
      <c r="I845" s="5">
        <v>39488</v>
      </c>
      <c r="J845" s="18" t="s">
        <v>11</v>
      </c>
      <c r="K845" s="1" t="s">
        <v>28</v>
      </c>
      <c r="L845" s="1" t="s">
        <v>355</v>
      </c>
      <c r="M845" s="5"/>
      <c r="N845" s="5" t="s">
        <v>11</v>
      </c>
      <c r="O845" s="5" t="s">
        <v>11</v>
      </c>
      <c r="P845" s="1" t="s">
        <v>5620</v>
      </c>
      <c r="Q845" s="1" t="s">
        <v>5621</v>
      </c>
      <c r="R845" s="2" t="s">
        <v>3906</v>
      </c>
      <c r="S845" s="1" t="s">
        <v>6243</v>
      </c>
      <c r="T845" s="1">
        <v>10382</v>
      </c>
      <c r="U845" s="1">
        <v>3748</v>
      </c>
      <c r="V845" s="1">
        <v>3748</v>
      </c>
      <c r="AH845" s="1">
        <v>6634</v>
      </c>
      <c r="AI845" s="1">
        <v>6634</v>
      </c>
    </row>
    <row r="846" spans="1:37" x14ac:dyDescent="0.2">
      <c r="A846" s="1" t="s">
        <v>80</v>
      </c>
      <c r="B846" s="1">
        <v>18264098</v>
      </c>
      <c r="C846" s="1" t="s">
        <v>7420</v>
      </c>
      <c r="E846" s="21">
        <v>5</v>
      </c>
      <c r="G846" s="1" t="s">
        <v>77</v>
      </c>
      <c r="H846" s="1" t="s">
        <v>6689</v>
      </c>
      <c r="I846" s="5">
        <v>39488</v>
      </c>
      <c r="J846" s="18" t="s">
        <v>11</v>
      </c>
      <c r="K846" s="1" t="s">
        <v>28</v>
      </c>
      <c r="L846" s="1" t="s">
        <v>354</v>
      </c>
      <c r="M846" s="5"/>
      <c r="N846" s="5" t="s">
        <v>11</v>
      </c>
      <c r="O846" s="5" t="s">
        <v>11</v>
      </c>
      <c r="P846" s="1" t="s">
        <v>3770</v>
      </c>
      <c r="Q846" s="1" t="s">
        <v>4788</v>
      </c>
      <c r="R846" s="2" t="s">
        <v>5037</v>
      </c>
      <c r="S846" s="1" t="s">
        <v>6243</v>
      </c>
      <c r="T846" s="1">
        <v>39055</v>
      </c>
      <c r="U846" s="1">
        <v>23226</v>
      </c>
      <c r="V846" s="1">
        <v>23226</v>
      </c>
      <c r="AH846" s="1">
        <v>15829</v>
      </c>
      <c r="AI846" s="1">
        <v>15829</v>
      </c>
    </row>
    <row r="847" spans="1:37" x14ac:dyDescent="0.2">
      <c r="A847" s="1" t="s">
        <v>177</v>
      </c>
      <c r="B847" s="1">
        <v>18282107</v>
      </c>
      <c r="C847" s="1" t="s">
        <v>7420</v>
      </c>
      <c r="E847" s="21">
        <v>51</v>
      </c>
      <c r="G847" s="1" t="s">
        <v>74</v>
      </c>
      <c r="H847" s="1" t="s">
        <v>7016</v>
      </c>
      <c r="I847" s="5">
        <v>39493</v>
      </c>
      <c r="J847" s="18" t="s">
        <v>11</v>
      </c>
      <c r="K847" s="1" t="s">
        <v>65</v>
      </c>
      <c r="L847" s="1" t="s">
        <v>360</v>
      </c>
      <c r="M847" s="5"/>
      <c r="N847" s="5" t="s">
        <v>11</v>
      </c>
      <c r="O847" s="5" t="s">
        <v>10</v>
      </c>
      <c r="P847" s="1" t="s">
        <v>6663</v>
      </c>
      <c r="Q847" s="1" t="s">
        <v>3555</v>
      </c>
      <c r="R847" s="2" t="s">
        <v>4960</v>
      </c>
      <c r="S847" s="1" t="s">
        <v>6244</v>
      </c>
      <c r="T847" s="1">
        <v>9613</v>
      </c>
      <c r="U847" s="1">
        <v>2931</v>
      </c>
      <c r="V847" s="1">
        <v>2931</v>
      </c>
      <c r="AH847" s="1">
        <v>6682</v>
      </c>
      <c r="AI847" s="1">
        <v>5809</v>
      </c>
      <c r="AK847" s="1">
        <v>873</v>
      </c>
    </row>
    <row r="848" spans="1:37" x14ac:dyDescent="0.2">
      <c r="A848" s="1" t="s">
        <v>364</v>
      </c>
      <c r="B848" s="1">
        <v>18311140</v>
      </c>
      <c r="C848" s="1" t="s">
        <v>7420</v>
      </c>
      <c r="E848" s="21">
        <v>1026</v>
      </c>
      <c r="G848" s="1" t="s">
        <v>133</v>
      </c>
      <c r="H848" s="1" t="s">
        <v>134</v>
      </c>
      <c r="I848" s="5">
        <v>39509</v>
      </c>
      <c r="J848" s="18" t="s">
        <v>11</v>
      </c>
      <c r="K848" s="1" t="s">
        <v>28</v>
      </c>
      <c r="L848" s="1" t="s">
        <v>365</v>
      </c>
      <c r="M848" s="5"/>
      <c r="N848" s="5" t="s">
        <v>10</v>
      </c>
      <c r="O848" s="5" t="s">
        <v>10</v>
      </c>
      <c r="P848" s="1" t="s">
        <v>3516</v>
      </c>
      <c r="Q848" s="1" t="s">
        <v>4315</v>
      </c>
      <c r="R848" s="2" t="s">
        <v>5808</v>
      </c>
      <c r="S848" s="1" t="s">
        <v>6243</v>
      </c>
      <c r="T848" s="1">
        <v>7238</v>
      </c>
      <c r="U848" s="1">
        <v>2189</v>
      </c>
      <c r="V848" s="1">
        <v>2189</v>
      </c>
      <c r="AH848" s="1">
        <v>5049</v>
      </c>
      <c r="AI848" s="1">
        <v>5049</v>
      </c>
    </row>
    <row r="849" spans="1:37" x14ac:dyDescent="0.2">
      <c r="A849" s="1" t="s">
        <v>84</v>
      </c>
      <c r="B849" s="1">
        <v>18316681</v>
      </c>
      <c r="C849" s="1" t="s">
        <v>7420</v>
      </c>
      <c r="D849" s="1">
        <v>1</v>
      </c>
      <c r="E849" s="21">
        <v>0</v>
      </c>
      <c r="G849" s="1" t="s">
        <v>363</v>
      </c>
      <c r="H849" s="1" t="s">
        <v>6840</v>
      </c>
      <c r="I849" s="5">
        <v>39508</v>
      </c>
      <c r="J849" s="18" t="s">
        <v>11</v>
      </c>
      <c r="K849" s="1" t="s">
        <v>361</v>
      </c>
      <c r="L849" s="1" t="s">
        <v>362</v>
      </c>
      <c r="M849" s="5"/>
      <c r="N849" s="5" t="s">
        <v>10</v>
      </c>
      <c r="O849" s="5" t="s">
        <v>10</v>
      </c>
      <c r="P849" s="1" t="s">
        <v>3793</v>
      </c>
      <c r="Q849" s="1" t="s">
        <v>33</v>
      </c>
      <c r="R849" s="2" t="s">
        <v>5972</v>
      </c>
      <c r="S849" s="1" t="s">
        <v>6242</v>
      </c>
      <c r="T849" s="1">
        <v>580</v>
      </c>
      <c r="U849" s="1">
        <v>580</v>
      </c>
      <c r="X849" s="1">
        <v>580</v>
      </c>
    </row>
    <row r="850" spans="1:37" x14ac:dyDescent="0.2">
      <c r="A850" s="1" t="s">
        <v>366</v>
      </c>
      <c r="B850" s="1">
        <v>18317468</v>
      </c>
      <c r="C850" s="1" t="s">
        <v>7420</v>
      </c>
      <c r="E850" s="21">
        <v>202</v>
      </c>
      <c r="G850" s="1" t="s">
        <v>112</v>
      </c>
      <c r="H850" s="1" t="s">
        <v>7145</v>
      </c>
      <c r="I850" s="5">
        <v>39511</v>
      </c>
      <c r="J850" s="18" t="s">
        <v>11</v>
      </c>
      <c r="K850" s="1" t="s">
        <v>71</v>
      </c>
      <c r="L850" s="1" t="s">
        <v>367</v>
      </c>
      <c r="M850" s="5"/>
      <c r="N850" s="5" t="s">
        <v>10</v>
      </c>
      <c r="O850" s="5" t="s">
        <v>10</v>
      </c>
      <c r="P850" s="1" t="s">
        <v>3844</v>
      </c>
      <c r="Q850" s="1" t="s">
        <v>3845</v>
      </c>
      <c r="R850" s="2" t="s">
        <v>3064</v>
      </c>
      <c r="S850" s="1" t="s">
        <v>6243</v>
      </c>
      <c r="T850" s="1">
        <v>5412</v>
      </c>
      <c r="U850" s="1">
        <v>3469</v>
      </c>
      <c r="V850" s="1">
        <v>3469</v>
      </c>
      <c r="AH850" s="1">
        <v>1943</v>
      </c>
      <c r="AI850" s="1">
        <v>1943</v>
      </c>
    </row>
    <row r="851" spans="1:37" x14ac:dyDescent="0.2">
      <c r="A851" s="1" t="s">
        <v>368</v>
      </c>
      <c r="B851" s="1">
        <v>18325910</v>
      </c>
      <c r="C851" s="1" t="s">
        <v>7420</v>
      </c>
      <c r="E851" s="21">
        <v>36</v>
      </c>
      <c r="G851" s="1" t="s">
        <v>370</v>
      </c>
      <c r="H851" s="1" t="s">
        <v>7229</v>
      </c>
      <c r="I851" s="5">
        <v>39512</v>
      </c>
      <c r="J851" s="18" t="s">
        <v>11</v>
      </c>
      <c r="K851" s="1" t="s">
        <v>103</v>
      </c>
      <c r="L851" s="1" t="s">
        <v>369</v>
      </c>
      <c r="M851" s="5"/>
      <c r="N851" s="5" t="s">
        <v>10</v>
      </c>
      <c r="O851" s="5" t="s">
        <v>10</v>
      </c>
      <c r="P851" s="1" t="s">
        <v>6256</v>
      </c>
      <c r="Q851" s="1" t="s">
        <v>6644</v>
      </c>
      <c r="R851" s="2" t="s">
        <v>4865</v>
      </c>
      <c r="S851" s="1" t="s">
        <v>6243</v>
      </c>
      <c r="T851" s="1">
        <v>4812</v>
      </c>
      <c r="U851" s="1">
        <v>1000</v>
      </c>
      <c r="V851" s="1">
        <v>1000</v>
      </c>
      <c r="AH851" s="1">
        <v>3812</v>
      </c>
      <c r="AI851" s="1">
        <v>3812</v>
      </c>
    </row>
    <row r="852" spans="1:37" x14ac:dyDescent="0.2">
      <c r="A852" s="1" t="s">
        <v>373</v>
      </c>
      <c r="B852" s="1">
        <v>18326623</v>
      </c>
      <c r="C852" s="1" t="s">
        <v>7420</v>
      </c>
      <c r="E852" s="21">
        <v>7</v>
      </c>
      <c r="G852" s="1" t="s">
        <v>119</v>
      </c>
      <c r="H852" s="1" t="s">
        <v>6675</v>
      </c>
      <c r="I852" s="5">
        <v>39518</v>
      </c>
      <c r="J852" s="18" t="s">
        <v>11</v>
      </c>
      <c r="K852" s="1" t="s">
        <v>210</v>
      </c>
      <c r="L852" s="1" t="s">
        <v>374</v>
      </c>
      <c r="M852" s="5"/>
      <c r="N852" s="5" t="s">
        <v>11</v>
      </c>
      <c r="O852" s="5" t="s">
        <v>11</v>
      </c>
      <c r="P852" s="1" t="s">
        <v>375</v>
      </c>
      <c r="Q852" s="1" t="s">
        <v>4049</v>
      </c>
      <c r="R852" s="2" t="s">
        <v>5863</v>
      </c>
      <c r="S852" s="1" t="s">
        <v>6243</v>
      </c>
      <c r="T852" s="1">
        <v>2907</v>
      </c>
      <c r="U852" s="1">
        <v>548</v>
      </c>
      <c r="V852" s="1">
        <v>548</v>
      </c>
      <c r="AH852" s="1">
        <v>2359</v>
      </c>
      <c r="AI852" s="1">
        <v>2359</v>
      </c>
    </row>
    <row r="853" spans="1:37" x14ac:dyDescent="0.2">
      <c r="A853" s="1" t="s">
        <v>6971</v>
      </c>
      <c r="B853" s="1">
        <v>18327256</v>
      </c>
      <c r="C853" s="1" t="s">
        <v>7420</v>
      </c>
      <c r="E853" s="21">
        <v>56</v>
      </c>
      <c r="G853" s="1" t="s">
        <v>6733</v>
      </c>
      <c r="H853" s="1" t="s">
        <v>7211</v>
      </c>
      <c r="I853" s="5">
        <v>39516</v>
      </c>
      <c r="J853" s="18" t="s">
        <v>11</v>
      </c>
      <c r="K853" s="1" t="s">
        <v>28</v>
      </c>
      <c r="L853" s="1" t="s">
        <v>371</v>
      </c>
      <c r="M853" s="5"/>
      <c r="N853" s="5" t="s">
        <v>10</v>
      </c>
      <c r="O853" s="5" t="s">
        <v>10</v>
      </c>
      <c r="P853" s="1" t="s">
        <v>3758</v>
      </c>
      <c r="Q853" s="1" t="s">
        <v>4870</v>
      </c>
      <c r="R853" s="2" t="s">
        <v>4525</v>
      </c>
      <c r="S853" s="1" t="s">
        <v>6243</v>
      </c>
      <c r="T853" s="1">
        <v>11591</v>
      </c>
      <c r="U853" s="1">
        <v>1644</v>
      </c>
      <c r="V853" s="1">
        <v>1644</v>
      </c>
      <c r="AH853" s="1">
        <v>9947</v>
      </c>
      <c r="AI853" s="1">
        <v>9947</v>
      </c>
    </row>
    <row r="854" spans="1:37" x14ac:dyDescent="0.2">
      <c r="A854" s="1" t="s">
        <v>6972</v>
      </c>
      <c r="B854" s="1">
        <v>18327257</v>
      </c>
      <c r="C854" s="1" t="s">
        <v>7420</v>
      </c>
      <c r="E854" s="21">
        <v>12</v>
      </c>
      <c r="G854" s="1" t="s">
        <v>6733</v>
      </c>
      <c r="H854" s="1" t="s">
        <v>7211</v>
      </c>
      <c r="I854" s="5">
        <v>39516</v>
      </c>
      <c r="J854" s="18" t="s">
        <v>11</v>
      </c>
      <c r="K854" s="1" t="s">
        <v>28</v>
      </c>
      <c r="L854" s="1" t="s">
        <v>372</v>
      </c>
      <c r="M854" s="5"/>
      <c r="N854" s="5" t="s">
        <v>10</v>
      </c>
      <c r="O854" s="5" t="s">
        <v>10</v>
      </c>
      <c r="P854" s="1" t="s">
        <v>3510</v>
      </c>
      <c r="Q854" s="1" t="s">
        <v>3511</v>
      </c>
      <c r="R854" s="2" t="s">
        <v>5810</v>
      </c>
      <c r="S854" s="1" t="s">
        <v>6243</v>
      </c>
      <c r="T854" s="1">
        <v>1500</v>
      </c>
      <c r="U854" s="1">
        <v>794</v>
      </c>
      <c r="V854" s="1">
        <v>794</v>
      </c>
      <c r="AH854" s="1">
        <v>706</v>
      </c>
      <c r="AI854" s="1">
        <v>706</v>
      </c>
    </row>
    <row r="855" spans="1:37" x14ac:dyDescent="0.2">
      <c r="A855" s="1" t="s">
        <v>376</v>
      </c>
      <c r="B855" s="1">
        <v>18332876</v>
      </c>
      <c r="C855" s="1" t="s">
        <v>7420</v>
      </c>
      <c r="E855" s="21">
        <v>63</v>
      </c>
      <c r="G855" s="1" t="s">
        <v>74</v>
      </c>
      <c r="H855" s="1" t="s">
        <v>2545</v>
      </c>
      <c r="I855" s="5">
        <v>39518</v>
      </c>
      <c r="J855" s="18" t="s">
        <v>11</v>
      </c>
      <c r="K855" s="1" t="s">
        <v>71</v>
      </c>
      <c r="L855" s="1" t="s">
        <v>377</v>
      </c>
      <c r="M855" s="5"/>
      <c r="N855" s="5" t="s">
        <v>10</v>
      </c>
      <c r="O855" s="5" t="s">
        <v>10</v>
      </c>
      <c r="P855" s="1" t="s">
        <v>3571</v>
      </c>
      <c r="Q855" s="1" t="s">
        <v>33</v>
      </c>
      <c r="R855" s="2" t="s">
        <v>5018</v>
      </c>
      <c r="S855" s="1" t="s">
        <v>6243</v>
      </c>
      <c r="T855" s="1">
        <v>2327</v>
      </c>
      <c r="U855" s="1">
        <v>2327</v>
      </c>
      <c r="V855" s="1">
        <v>2327</v>
      </c>
    </row>
    <row r="856" spans="1:37" x14ac:dyDescent="0.2">
      <c r="A856" s="1" t="s">
        <v>378</v>
      </c>
      <c r="B856" s="1">
        <v>18344981</v>
      </c>
      <c r="C856" s="1" t="s">
        <v>7420</v>
      </c>
      <c r="D856" s="1">
        <v>1</v>
      </c>
      <c r="E856" s="21">
        <v>0</v>
      </c>
      <c r="F856" s="17">
        <v>1</v>
      </c>
      <c r="G856" s="1" t="s">
        <v>379</v>
      </c>
      <c r="H856" s="1" t="s">
        <v>7348</v>
      </c>
      <c r="I856" s="5">
        <v>39523</v>
      </c>
      <c r="J856" s="18" t="s">
        <v>10</v>
      </c>
      <c r="K856" s="1" t="s">
        <v>58</v>
      </c>
      <c r="L856" s="1" t="s">
        <v>2817</v>
      </c>
      <c r="M856" s="5"/>
      <c r="N856" s="5" t="s">
        <v>10</v>
      </c>
      <c r="O856" s="5" t="s">
        <v>10</v>
      </c>
      <c r="P856" s="2" t="s">
        <v>6274</v>
      </c>
      <c r="Q856" s="1" t="s">
        <v>33</v>
      </c>
      <c r="R856" s="10" t="s">
        <v>5700</v>
      </c>
      <c r="S856" s="1" t="s">
        <v>6243</v>
      </c>
      <c r="T856" s="1">
        <v>150</v>
      </c>
      <c r="U856" s="1">
        <v>150</v>
      </c>
      <c r="V856" s="1">
        <v>150</v>
      </c>
    </row>
    <row r="857" spans="1:37" x14ac:dyDescent="0.2">
      <c r="A857" s="1" t="s">
        <v>380</v>
      </c>
      <c r="B857" s="1">
        <v>18347602</v>
      </c>
      <c r="C857" s="1" t="s">
        <v>7420</v>
      </c>
      <c r="E857" s="21">
        <v>28</v>
      </c>
      <c r="G857" s="1" t="s">
        <v>74</v>
      </c>
      <c r="H857" s="1" t="s">
        <v>2545</v>
      </c>
      <c r="I857" s="5">
        <v>39525</v>
      </c>
      <c r="J857" s="18" t="s">
        <v>11</v>
      </c>
      <c r="K857" s="1" t="s">
        <v>71</v>
      </c>
      <c r="L857" s="1" t="s">
        <v>381</v>
      </c>
      <c r="M857" s="5"/>
      <c r="N857" s="5" t="s">
        <v>10</v>
      </c>
      <c r="O857" s="5" t="s">
        <v>10</v>
      </c>
      <c r="P857" s="1" t="s">
        <v>6395</v>
      </c>
      <c r="Q857" s="1" t="s">
        <v>33</v>
      </c>
      <c r="R857" s="2" t="s">
        <v>4158</v>
      </c>
      <c r="S857" s="1" t="s">
        <v>6244</v>
      </c>
      <c r="T857" s="1">
        <v>1471</v>
      </c>
      <c r="U857" s="1">
        <v>1471</v>
      </c>
      <c r="V857" s="1">
        <v>828</v>
      </c>
      <c r="W857" s="1">
        <v>436</v>
      </c>
      <c r="AE857" s="1">
        <v>207</v>
      </c>
    </row>
    <row r="858" spans="1:37" x14ac:dyDescent="0.2">
      <c r="A858" s="1" t="s">
        <v>301</v>
      </c>
      <c r="B858" s="1">
        <v>18360741</v>
      </c>
      <c r="C858" s="1" t="s">
        <v>7420</v>
      </c>
      <c r="D858" s="1" t="s">
        <v>7411</v>
      </c>
      <c r="E858" s="21">
        <v>1</v>
      </c>
      <c r="G858" s="1" t="s">
        <v>384</v>
      </c>
      <c r="H858" s="1" t="s">
        <v>6817</v>
      </c>
      <c r="I858" s="5">
        <v>39532</v>
      </c>
      <c r="J858" s="18" t="s">
        <v>11</v>
      </c>
      <c r="K858" s="1" t="s">
        <v>382</v>
      </c>
      <c r="L858" s="1" t="s">
        <v>383</v>
      </c>
      <c r="M858" s="5"/>
      <c r="N858" s="5" t="s">
        <v>10</v>
      </c>
      <c r="O858" s="5" t="s">
        <v>10</v>
      </c>
      <c r="P858" s="1" t="s">
        <v>3613</v>
      </c>
      <c r="Q858" s="1" t="s">
        <v>4310</v>
      </c>
      <c r="R858" s="2" t="s">
        <v>5889</v>
      </c>
      <c r="S858" s="1" t="s">
        <v>6243</v>
      </c>
      <c r="T858" s="1">
        <v>4367</v>
      </c>
      <c r="U858" s="1">
        <v>838</v>
      </c>
      <c r="V858" s="1">
        <v>838</v>
      </c>
      <c r="AH858" s="1">
        <v>3529</v>
      </c>
      <c r="AI858" s="1">
        <v>3529</v>
      </c>
    </row>
    <row r="859" spans="1:37" x14ac:dyDescent="0.2">
      <c r="A859" s="1" t="s">
        <v>385</v>
      </c>
      <c r="B859" s="1">
        <v>18364390</v>
      </c>
      <c r="C859" s="1" t="s">
        <v>7420</v>
      </c>
      <c r="E859" s="21">
        <v>242</v>
      </c>
      <c r="G859" s="1" t="s">
        <v>136</v>
      </c>
      <c r="H859" s="1" t="s">
        <v>137</v>
      </c>
      <c r="I859" s="5">
        <v>39532</v>
      </c>
      <c r="J859" s="18" t="s">
        <v>11</v>
      </c>
      <c r="K859" s="1" t="s">
        <v>103</v>
      </c>
      <c r="L859" s="1" t="s">
        <v>386</v>
      </c>
      <c r="M859" s="5"/>
      <c r="N859" s="5" t="s">
        <v>10</v>
      </c>
      <c r="O859" s="5" t="s">
        <v>10</v>
      </c>
      <c r="P859" s="1" t="s">
        <v>3712</v>
      </c>
      <c r="Q859" s="1" t="s">
        <v>4137</v>
      </c>
      <c r="R859" s="2" t="s">
        <v>5753</v>
      </c>
      <c r="S859" s="1" t="s">
        <v>6243</v>
      </c>
      <c r="T859" s="1">
        <v>4894</v>
      </c>
      <c r="U859" s="1">
        <v>606</v>
      </c>
      <c r="V859" s="1">
        <v>606</v>
      </c>
      <c r="AH859" s="1">
        <v>4288</v>
      </c>
      <c r="AI859" s="1">
        <v>4288</v>
      </c>
    </row>
    <row r="860" spans="1:37" x14ac:dyDescent="0.2">
      <c r="A860" s="1" t="s">
        <v>399</v>
      </c>
      <c r="B860" s="1">
        <v>18369459</v>
      </c>
      <c r="C860" s="1" t="s">
        <v>7420</v>
      </c>
      <c r="E860" s="21">
        <v>549</v>
      </c>
      <c r="G860" s="1" t="s">
        <v>136</v>
      </c>
      <c r="H860" s="1" t="s">
        <v>137</v>
      </c>
      <c r="I860" s="5">
        <v>39542</v>
      </c>
      <c r="J860" s="18" t="s">
        <v>11</v>
      </c>
      <c r="K860" s="1" t="s">
        <v>65</v>
      </c>
      <c r="L860" s="1" t="s">
        <v>400</v>
      </c>
      <c r="M860" s="5"/>
      <c r="N860" s="5" t="s">
        <v>10</v>
      </c>
      <c r="O860" s="5" t="s">
        <v>10</v>
      </c>
      <c r="P860" s="1" t="s">
        <v>3783</v>
      </c>
      <c r="Q860" s="1" t="s">
        <v>3911</v>
      </c>
      <c r="R860" s="2" t="s">
        <v>5733</v>
      </c>
      <c r="S860" s="1" t="s">
        <v>6243</v>
      </c>
      <c r="T860" s="1">
        <v>3107</v>
      </c>
      <c r="U860" s="1">
        <v>737</v>
      </c>
      <c r="V860" s="1">
        <v>737</v>
      </c>
      <c r="AH860" s="1">
        <v>2370</v>
      </c>
      <c r="AI860" s="1">
        <v>2370</v>
      </c>
    </row>
    <row r="861" spans="1:37" x14ac:dyDescent="0.2">
      <c r="A861" s="1" t="s">
        <v>387</v>
      </c>
      <c r="B861" s="1">
        <v>18372901</v>
      </c>
      <c r="C861" s="1" t="s">
        <v>7420</v>
      </c>
      <c r="E861" s="21">
        <v>18</v>
      </c>
      <c r="G861" s="1" t="s">
        <v>145</v>
      </c>
      <c r="H861" s="1" t="s">
        <v>146</v>
      </c>
      <c r="I861" s="5">
        <v>39537</v>
      </c>
      <c r="J861" s="18" t="s">
        <v>11</v>
      </c>
      <c r="K861" s="1" t="s">
        <v>28</v>
      </c>
      <c r="L861" s="1" t="s">
        <v>388</v>
      </c>
      <c r="M861" s="5"/>
      <c r="N861" s="5" t="s">
        <v>10</v>
      </c>
      <c r="O861" s="5" t="s">
        <v>10</v>
      </c>
      <c r="P861" s="1" t="s">
        <v>3460</v>
      </c>
      <c r="Q861" s="1" t="s">
        <v>6423</v>
      </c>
      <c r="R861" s="2" t="s">
        <v>5748</v>
      </c>
      <c r="S861" s="1" t="s">
        <v>6244</v>
      </c>
      <c r="T861" s="1">
        <v>33810</v>
      </c>
      <c r="U861" s="1">
        <v>6098</v>
      </c>
      <c r="V861" s="1">
        <v>6098</v>
      </c>
      <c r="AH861" s="1">
        <v>27712</v>
      </c>
      <c r="AI861" s="1">
        <v>20133</v>
      </c>
      <c r="AK861" s="1">
        <v>7579</v>
      </c>
    </row>
    <row r="862" spans="1:37" x14ac:dyDescent="0.2">
      <c r="A862" s="1" t="s">
        <v>100</v>
      </c>
      <c r="B862" s="1">
        <v>18372903</v>
      </c>
      <c r="C862" s="1" t="s">
        <v>7420</v>
      </c>
      <c r="E862" s="21">
        <v>105</v>
      </c>
      <c r="G862" s="1" t="s">
        <v>61</v>
      </c>
      <c r="H862" s="1" t="s">
        <v>7396</v>
      </c>
      <c r="I862" s="5">
        <v>39537</v>
      </c>
      <c r="J862" s="18" t="s">
        <v>11</v>
      </c>
      <c r="K862" s="1" t="s">
        <v>28</v>
      </c>
      <c r="L862" s="1" t="s">
        <v>389</v>
      </c>
      <c r="M862" s="5"/>
      <c r="N862" s="5" t="s">
        <v>10</v>
      </c>
      <c r="O862" s="5" t="s">
        <v>10</v>
      </c>
      <c r="P862" s="1" t="s">
        <v>3625</v>
      </c>
      <c r="Q862" s="1" t="s">
        <v>4537</v>
      </c>
      <c r="R862" s="2" t="s">
        <v>6003</v>
      </c>
      <c r="S862" s="1" t="s">
        <v>6243</v>
      </c>
      <c r="T862" s="1">
        <v>89920</v>
      </c>
      <c r="U862" s="1">
        <v>10128</v>
      </c>
      <c r="V862" s="1">
        <v>10128</v>
      </c>
      <c r="AH862" s="1">
        <v>79792</v>
      </c>
      <c r="AI862" s="1">
        <v>79792</v>
      </c>
    </row>
    <row r="863" spans="1:37" x14ac:dyDescent="0.2">
      <c r="A863" s="1" t="s">
        <v>390</v>
      </c>
      <c r="B863" s="1">
        <v>18372905</v>
      </c>
      <c r="C863" s="1" t="s">
        <v>7420</v>
      </c>
      <c r="E863" s="21">
        <v>14</v>
      </c>
      <c r="G863" s="1" t="s">
        <v>145</v>
      </c>
      <c r="H863" s="1" t="s">
        <v>146</v>
      </c>
      <c r="I863" s="5">
        <v>39537</v>
      </c>
      <c r="J863" s="18" t="s">
        <v>11</v>
      </c>
      <c r="K863" s="1" t="s">
        <v>28</v>
      </c>
      <c r="L863" s="1" t="s">
        <v>391</v>
      </c>
      <c r="N863" s="5" t="s">
        <v>10</v>
      </c>
      <c r="O863" s="5" t="s">
        <v>10</v>
      </c>
      <c r="P863" s="1" t="s">
        <v>3479</v>
      </c>
      <c r="Q863" s="1" t="s">
        <v>4712</v>
      </c>
      <c r="R863" s="2" t="s">
        <v>5819</v>
      </c>
      <c r="S863" s="1" t="s">
        <v>6243</v>
      </c>
      <c r="T863" s="1">
        <v>37247</v>
      </c>
      <c r="U863" s="1">
        <v>1849</v>
      </c>
      <c r="V863" s="1">
        <v>1849</v>
      </c>
      <c r="AH863" s="1">
        <v>35398</v>
      </c>
      <c r="AI863" s="1">
        <v>35398</v>
      </c>
    </row>
    <row r="864" spans="1:37" x14ac:dyDescent="0.2">
      <c r="A864" s="1" t="s">
        <v>394</v>
      </c>
      <c r="B864" s="1">
        <v>18385676</v>
      </c>
      <c r="C864" s="1" t="s">
        <v>7420</v>
      </c>
      <c r="E864" s="21">
        <v>28</v>
      </c>
      <c r="G864" s="1" t="s">
        <v>54</v>
      </c>
      <c r="H864" s="1" t="s">
        <v>1809</v>
      </c>
      <c r="I864" s="5">
        <v>39541</v>
      </c>
      <c r="J864" s="18" t="s">
        <v>11</v>
      </c>
      <c r="K864" s="1" t="s">
        <v>28</v>
      </c>
      <c r="L864" s="1" t="s">
        <v>393</v>
      </c>
      <c r="M864" s="5"/>
      <c r="N864" s="5" t="s">
        <v>10</v>
      </c>
      <c r="O864" s="5" t="s">
        <v>10</v>
      </c>
      <c r="P864" s="1" t="s">
        <v>3727</v>
      </c>
      <c r="Q864" s="1" t="s">
        <v>4293</v>
      </c>
      <c r="R864" s="2" t="s">
        <v>5682</v>
      </c>
      <c r="S864" s="1" t="s">
        <v>6243</v>
      </c>
      <c r="T864" s="1">
        <v>8709</v>
      </c>
      <c r="U864" s="1">
        <v>2291</v>
      </c>
      <c r="V864" s="1">
        <v>2291</v>
      </c>
      <c r="AH864" s="1">
        <v>6418</v>
      </c>
      <c r="AI864" s="1">
        <v>6418</v>
      </c>
    </row>
    <row r="865" spans="1:38" x14ac:dyDescent="0.2">
      <c r="A865" s="1" t="s">
        <v>397</v>
      </c>
      <c r="B865" s="1">
        <v>18385738</v>
      </c>
      <c r="C865" s="1" t="s">
        <v>7420</v>
      </c>
      <c r="E865" s="21">
        <v>94</v>
      </c>
      <c r="G865" s="1" t="s">
        <v>54</v>
      </c>
      <c r="H865" s="1" t="s">
        <v>1809</v>
      </c>
      <c r="I865" s="5">
        <v>39541</v>
      </c>
      <c r="J865" s="18" t="s">
        <v>11</v>
      </c>
      <c r="K865" s="1" t="s">
        <v>58</v>
      </c>
      <c r="L865" s="1" t="s">
        <v>398</v>
      </c>
      <c r="M865" s="5"/>
      <c r="N865" s="5" t="s">
        <v>10</v>
      </c>
      <c r="O865" s="5" t="s">
        <v>10</v>
      </c>
      <c r="P865" s="1" t="s">
        <v>3859</v>
      </c>
      <c r="Q865" s="1" t="s">
        <v>4411</v>
      </c>
      <c r="R865" s="2" t="s">
        <v>5723</v>
      </c>
      <c r="S865" s="1" t="s">
        <v>6243</v>
      </c>
      <c r="T865" s="1">
        <v>11713</v>
      </c>
      <c r="U865" s="1">
        <v>4448</v>
      </c>
      <c r="V865" s="1">
        <v>4448</v>
      </c>
      <c r="AH865" s="1">
        <v>7265</v>
      </c>
      <c r="AI865" s="1">
        <v>7265</v>
      </c>
    </row>
    <row r="866" spans="1:38" x14ac:dyDescent="0.2">
      <c r="A866" s="1" t="s">
        <v>395</v>
      </c>
      <c r="B866" s="1">
        <v>18385739</v>
      </c>
      <c r="C866" s="1" t="s">
        <v>7420</v>
      </c>
      <c r="E866" s="21">
        <v>16</v>
      </c>
      <c r="G866" s="1" t="s">
        <v>2571</v>
      </c>
      <c r="H866" s="1" t="s">
        <v>7156</v>
      </c>
      <c r="I866" s="5">
        <v>39541</v>
      </c>
      <c r="J866" s="18" t="s">
        <v>11</v>
      </c>
      <c r="K866" s="1" t="s">
        <v>58</v>
      </c>
      <c r="L866" s="1" t="s">
        <v>396</v>
      </c>
      <c r="M866" s="5"/>
      <c r="N866" s="5" t="s">
        <v>10</v>
      </c>
      <c r="O866" s="5" t="s">
        <v>10</v>
      </c>
      <c r="P866" s="1" t="s">
        <v>5498</v>
      </c>
      <c r="Q866" s="1" t="s">
        <v>5499</v>
      </c>
      <c r="R866" s="2" t="s">
        <v>5677</v>
      </c>
      <c r="S866" s="1" t="s">
        <v>6243</v>
      </c>
      <c r="T866" s="1">
        <v>15843</v>
      </c>
      <c r="U866" s="1">
        <v>10995</v>
      </c>
      <c r="V866" s="1">
        <v>10995</v>
      </c>
      <c r="AH866" s="1">
        <v>4848</v>
      </c>
      <c r="AI866" s="1">
        <v>4848</v>
      </c>
    </row>
    <row r="867" spans="1:38" x14ac:dyDescent="0.2">
      <c r="A867" s="1" t="s">
        <v>401</v>
      </c>
      <c r="B867" s="1">
        <v>18391950</v>
      </c>
      <c r="C867" s="1" t="s">
        <v>7420</v>
      </c>
      <c r="E867" s="21">
        <v>40</v>
      </c>
      <c r="G867" s="1" t="s">
        <v>197</v>
      </c>
      <c r="H867" s="1" t="s">
        <v>7270</v>
      </c>
      <c r="I867" s="5">
        <v>39544</v>
      </c>
      <c r="J867" s="18" t="s">
        <v>11</v>
      </c>
      <c r="K867" s="1" t="s">
        <v>28</v>
      </c>
      <c r="L867" s="1" t="s">
        <v>402</v>
      </c>
      <c r="M867" s="5"/>
      <c r="N867" s="5" t="s">
        <v>10</v>
      </c>
      <c r="O867" s="5" t="s">
        <v>10</v>
      </c>
      <c r="P867" s="1" t="s">
        <v>3753</v>
      </c>
      <c r="Q867" s="1" t="s">
        <v>6257</v>
      </c>
      <c r="R867" s="2" t="s">
        <v>6004</v>
      </c>
      <c r="S867" s="1" t="s">
        <v>6243</v>
      </c>
      <c r="T867" s="1">
        <v>29492</v>
      </c>
      <c r="U867" s="1">
        <v>15821</v>
      </c>
      <c r="V867" s="1">
        <v>15821</v>
      </c>
      <c r="AH867" s="1">
        <v>13671</v>
      </c>
      <c r="AI867" s="1">
        <v>13671</v>
      </c>
    </row>
    <row r="868" spans="1:38" x14ac:dyDescent="0.2">
      <c r="A868" s="1" t="s">
        <v>166</v>
      </c>
      <c r="B868" s="1">
        <v>18391951</v>
      </c>
      <c r="C868" s="1" t="s">
        <v>7420</v>
      </c>
      <c r="E868" s="21">
        <v>416</v>
      </c>
      <c r="G868" s="1" t="s">
        <v>197</v>
      </c>
      <c r="H868" s="1" t="s">
        <v>7270</v>
      </c>
      <c r="I868" s="5">
        <v>39544</v>
      </c>
      <c r="J868" s="18" t="s">
        <v>11</v>
      </c>
      <c r="K868" s="1" t="s">
        <v>28</v>
      </c>
      <c r="L868" s="1" t="s">
        <v>403</v>
      </c>
      <c r="M868" s="5"/>
      <c r="N868" s="5" t="s">
        <v>10</v>
      </c>
      <c r="O868" s="5" t="s">
        <v>10</v>
      </c>
      <c r="P868" s="1" t="s">
        <v>3715</v>
      </c>
      <c r="Q868" s="1" t="s">
        <v>4794</v>
      </c>
      <c r="R868" s="2" t="s">
        <v>6055</v>
      </c>
      <c r="S868" s="1" t="s">
        <v>6244</v>
      </c>
      <c r="T868" s="1">
        <v>39509</v>
      </c>
      <c r="U868" s="1">
        <v>30968</v>
      </c>
      <c r="V868" s="1">
        <v>29820</v>
      </c>
      <c r="W868" s="1">
        <v>1148</v>
      </c>
      <c r="AH868" s="1">
        <v>8541</v>
      </c>
      <c r="AI868" s="1">
        <v>8541</v>
      </c>
    </row>
    <row r="869" spans="1:38" x14ac:dyDescent="0.2">
      <c r="A869" s="1" t="s">
        <v>194</v>
      </c>
      <c r="B869" s="1">
        <v>18391952</v>
      </c>
      <c r="C869" s="1" t="s">
        <v>7420</v>
      </c>
      <c r="E869" s="21">
        <v>44</v>
      </c>
      <c r="G869" s="1" t="s">
        <v>197</v>
      </c>
      <c r="H869" s="1" t="s">
        <v>7270</v>
      </c>
      <c r="I869" s="5">
        <v>39544</v>
      </c>
      <c r="J869" s="18" t="s">
        <v>11</v>
      </c>
      <c r="K869" s="1" t="s">
        <v>28</v>
      </c>
      <c r="L869" s="1" t="s">
        <v>404</v>
      </c>
      <c r="M869" s="5"/>
      <c r="N869" s="5" t="s">
        <v>10</v>
      </c>
      <c r="O869" s="5" t="s">
        <v>10</v>
      </c>
      <c r="P869" s="1" t="s">
        <v>3743</v>
      </c>
      <c r="Q869" s="1" t="s">
        <v>4621</v>
      </c>
      <c r="R869" s="2" t="s">
        <v>5842</v>
      </c>
      <c r="S869" s="1" t="s">
        <v>6243</v>
      </c>
      <c r="T869" s="1">
        <v>30147</v>
      </c>
      <c r="U869" s="1">
        <v>13665</v>
      </c>
      <c r="V869" s="1">
        <v>13665</v>
      </c>
      <c r="AH869" s="1">
        <v>16482</v>
      </c>
      <c r="AI869" s="1">
        <v>16482</v>
      </c>
    </row>
    <row r="870" spans="1:38" x14ac:dyDescent="0.2">
      <c r="A870" s="1" t="s">
        <v>405</v>
      </c>
      <c r="B870" s="1">
        <v>18403759</v>
      </c>
      <c r="C870" s="1" t="s">
        <v>7420</v>
      </c>
      <c r="E870" s="21">
        <v>26</v>
      </c>
      <c r="G870" s="1" t="s">
        <v>6734</v>
      </c>
      <c r="H870" s="1" t="s">
        <v>7331</v>
      </c>
      <c r="I870" s="5">
        <v>39547</v>
      </c>
      <c r="J870" s="18" t="s">
        <v>11</v>
      </c>
      <c r="K870" s="1" t="s">
        <v>157</v>
      </c>
      <c r="L870" s="1" t="s">
        <v>406</v>
      </c>
      <c r="M870" s="5"/>
      <c r="N870" s="5" t="s">
        <v>10</v>
      </c>
      <c r="O870" s="5" t="s">
        <v>10</v>
      </c>
      <c r="P870" s="1" t="s">
        <v>3562</v>
      </c>
      <c r="Q870" s="1" t="s">
        <v>3563</v>
      </c>
      <c r="R870" s="2" t="s">
        <v>5905</v>
      </c>
      <c r="S870" s="1" t="s">
        <v>6243</v>
      </c>
      <c r="T870" s="1">
        <v>838</v>
      </c>
      <c r="U870" s="1">
        <v>632</v>
      </c>
      <c r="V870" s="1">
        <v>632</v>
      </c>
      <c r="AH870" s="1">
        <v>206</v>
      </c>
      <c r="AI870" s="1">
        <v>206</v>
      </c>
    </row>
    <row r="871" spans="1:38" x14ac:dyDescent="0.2">
      <c r="A871" s="1" t="s">
        <v>407</v>
      </c>
      <c r="B871" s="1">
        <v>18439548</v>
      </c>
      <c r="C871" s="1" t="s">
        <v>7420</v>
      </c>
      <c r="E871" s="21">
        <v>45</v>
      </c>
      <c r="G871" s="1" t="s">
        <v>6900</v>
      </c>
      <c r="H871" s="1" t="s">
        <v>7406</v>
      </c>
      <c r="I871" s="5">
        <v>39562</v>
      </c>
      <c r="J871" s="18" t="s">
        <v>11</v>
      </c>
      <c r="K871" s="1" t="s">
        <v>16</v>
      </c>
      <c r="L871" s="1" t="s">
        <v>408</v>
      </c>
      <c r="M871" s="5"/>
      <c r="N871" s="5" t="s">
        <v>11</v>
      </c>
      <c r="O871" s="5" t="s">
        <v>11</v>
      </c>
      <c r="P871" s="1" t="s">
        <v>3561</v>
      </c>
      <c r="Q871" s="1" t="s">
        <v>33</v>
      </c>
      <c r="R871" s="2" t="s">
        <v>5767</v>
      </c>
      <c r="S871" s="1" t="s">
        <v>6243</v>
      </c>
      <c r="T871" s="1">
        <v>6345</v>
      </c>
      <c r="U871" s="1">
        <v>6345</v>
      </c>
      <c r="V871" s="1">
        <v>6345</v>
      </c>
    </row>
    <row r="872" spans="1:38" x14ac:dyDescent="0.2">
      <c r="A872" s="1" t="s">
        <v>409</v>
      </c>
      <c r="B872" s="1">
        <v>18439552</v>
      </c>
      <c r="C872" s="1" t="s">
        <v>7420</v>
      </c>
      <c r="E872" s="21">
        <v>16</v>
      </c>
      <c r="G872" s="1" t="s">
        <v>6800</v>
      </c>
      <c r="H872" s="1" t="s">
        <v>7407</v>
      </c>
      <c r="I872" s="5">
        <v>39562</v>
      </c>
      <c r="J872" s="18" t="s">
        <v>11</v>
      </c>
      <c r="K872" s="1" t="s">
        <v>16</v>
      </c>
      <c r="L872" s="1" t="s">
        <v>410</v>
      </c>
      <c r="M872" s="5"/>
      <c r="N872" s="5" t="s">
        <v>10</v>
      </c>
      <c r="O872" s="5" t="s">
        <v>10</v>
      </c>
      <c r="P872" s="1" t="s">
        <v>3481</v>
      </c>
      <c r="Q872" s="1" t="s">
        <v>3482</v>
      </c>
      <c r="R872" s="2" t="s">
        <v>5700</v>
      </c>
      <c r="S872" s="1" t="s">
        <v>6243</v>
      </c>
      <c r="T872" s="1">
        <v>6015</v>
      </c>
      <c r="U872" s="1">
        <v>909</v>
      </c>
      <c r="V872" s="1">
        <v>909</v>
      </c>
      <c r="AH872" s="1">
        <v>5106</v>
      </c>
      <c r="AI872" s="1">
        <v>5106</v>
      </c>
    </row>
    <row r="873" spans="1:38" x14ac:dyDescent="0.2">
      <c r="A873" s="1" t="s">
        <v>414</v>
      </c>
      <c r="B873" s="1">
        <v>18445777</v>
      </c>
      <c r="C873" s="1" t="s">
        <v>7420</v>
      </c>
      <c r="E873" s="21">
        <v>46040</v>
      </c>
      <c r="G873" s="1" t="s">
        <v>413</v>
      </c>
      <c r="H873" s="1" t="s">
        <v>7231</v>
      </c>
      <c r="I873" s="5">
        <v>39567</v>
      </c>
      <c r="J873" s="18" t="s">
        <v>11</v>
      </c>
      <c r="K873" s="1" t="s">
        <v>157</v>
      </c>
      <c r="L873" s="1" t="s">
        <v>415</v>
      </c>
      <c r="M873" s="5"/>
      <c r="N873" s="5" t="s">
        <v>10</v>
      </c>
      <c r="O873" s="5" t="s">
        <v>10</v>
      </c>
      <c r="P873" s="1" t="s">
        <v>3569</v>
      </c>
      <c r="Q873" s="1" t="s">
        <v>4706</v>
      </c>
      <c r="R873" s="2" t="s">
        <v>5791</v>
      </c>
      <c r="S873" s="1" t="s">
        <v>6243</v>
      </c>
      <c r="T873" s="1">
        <v>13786</v>
      </c>
      <c r="U873" s="1">
        <v>5861</v>
      </c>
      <c r="V873" s="1">
        <v>5861</v>
      </c>
      <c r="AH873" s="1">
        <v>7925</v>
      </c>
      <c r="AI873" s="1">
        <v>7925</v>
      </c>
    </row>
    <row r="874" spans="1:38" x14ac:dyDescent="0.2">
      <c r="A874" s="1" t="s">
        <v>416</v>
      </c>
      <c r="B874" s="1">
        <v>18449908</v>
      </c>
      <c r="C874" s="1" t="s">
        <v>7420</v>
      </c>
      <c r="E874" s="21">
        <v>6</v>
      </c>
      <c r="G874" s="1" t="s">
        <v>128</v>
      </c>
      <c r="H874" s="1" t="s">
        <v>7126</v>
      </c>
      <c r="I874" s="5">
        <v>39568</v>
      </c>
      <c r="J874" s="18" t="s">
        <v>11</v>
      </c>
      <c r="K874" s="1" t="s">
        <v>43</v>
      </c>
      <c r="L874" s="1" t="s">
        <v>417</v>
      </c>
      <c r="M874" s="5"/>
      <c r="N874" s="5" t="s">
        <v>10</v>
      </c>
      <c r="O874" s="5" t="s">
        <v>10</v>
      </c>
      <c r="P874" s="1" t="s">
        <v>3815</v>
      </c>
      <c r="Q874" s="1" t="s">
        <v>3814</v>
      </c>
      <c r="R874" s="2" t="s">
        <v>4876</v>
      </c>
      <c r="S874" s="1" t="s">
        <v>6243</v>
      </c>
      <c r="T874" s="1">
        <v>373</v>
      </c>
      <c r="U874" s="1">
        <v>89</v>
      </c>
      <c r="V874" s="1">
        <v>89</v>
      </c>
      <c r="AH874" s="1">
        <v>284</v>
      </c>
      <c r="AI874" s="1">
        <v>284</v>
      </c>
    </row>
    <row r="875" spans="1:38" x14ac:dyDescent="0.2">
      <c r="A875" s="1" t="s">
        <v>1799</v>
      </c>
      <c r="B875" s="1">
        <v>18451141</v>
      </c>
      <c r="C875" s="1" t="s">
        <v>7420</v>
      </c>
      <c r="E875" s="21">
        <v>187</v>
      </c>
      <c r="F875" s="17">
        <v>1</v>
      </c>
      <c r="G875" s="1" t="s">
        <v>6807</v>
      </c>
      <c r="H875" s="1" t="s">
        <v>7342</v>
      </c>
      <c r="I875" s="5">
        <v>39569</v>
      </c>
      <c r="J875" s="18" t="s">
        <v>10</v>
      </c>
      <c r="K875" s="1" t="s">
        <v>662</v>
      </c>
      <c r="L875" s="1" t="s">
        <v>2818</v>
      </c>
      <c r="M875" s="5"/>
      <c r="N875" s="5" t="s">
        <v>10</v>
      </c>
      <c r="O875" s="5" t="s">
        <v>10</v>
      </c>
      <c r="P875" s="1" t="s">
        <v>5482</v>
      </c>
      <c r="Q875" s="1" t="s">
        <v>33</v>
      </c>
      <c r="R875" s="2" t="s">
        <v>3025</v>
      </c>
      <c r="S875" s="1" t="s">
        <v>6244</v>
      </c>
      <c r="T875" s="1">
        <v>175</v>
      </c>
      <c r="U875" s="1">
        <v>175</v>
      </c>
      <c r="V875" s="1">
        <v>86</v>
      </c>
      <c r="W875" s="1">
        <v>89</v>
      </c>
    </row>
    <row r="876" spans="1:38" x14ac:dyDescent="0.2">
      <c r="A876" s="1" t="s">
        <v>459</v>
      </c>
      <c r="B876" s="1">
        <v>18451265</v>
      </c>
      <c r="C876" s="1" t="s">
        <v>7420</v>
      </c>
      <c r="E876" s="21">
        <v>17</v>
      </c>
      <c r="G876" s="1" t="s">
        <v>6995</v>
      </c>
      <c r="H876" s="1" t="s">
        <v>7382</v>
      </c>
      <c r="I876" s="5">
        <v>39618</v>
      </c>
      <c r="J876" s="18" t="s">
        <v>11</v>
      </c>
      <c r="K876" s="1" t="s">
        <v>25</v>
      </c>
      <c r="L876" s="1" t="s">
        <v>460</v>
      </c>
      <c r="M876" s="5"/>
      <c r="N876" s="5" t="s">
        <v>10</v>
      </c>
      <c r="O876" s="5" t="s">
        <v>10</v>
      </c>
      <c r="P876" s="1" t="s">
        <v>3558</v>
      </c>
      <c r="Q876" s="1" t="s">
        <v>4885</v>
      </c>
      <c r="R876" s="2" t="s">
        <v>4155</v>
      </c>
      <c r="S876" s="1" t="s">
        <v>6243</v>
      </c>
      <c r="T876" s="1">
        <v>10007</v>
      </c>
      <c r="U876" s="1">
        <v>654</v>
      </c>
      <c r="V876" s="1">
        <v>654</v>
      </c>
      <c r="AH876" s="1">
        <v>9353</v>
      </c>
      <c r="AI876" s="1">
        <v>9353</v>
      </c>
    </row>
    <row r="877" spans="1:38" x14ac:dyDescent="0.2">
      <c r="A877" s="1" t="s">
        <v>418</v>
      </c>
      <c r="B877" s="1">
        <v>18454146</v>
      </c>
      <c r="C877" s="1" t="s">
        <v>7420</v>
      </c>
      <c r="E877" s="21">
        <v>57</v>
      </c>
      <c r="G877" s="1" t="s">
        <v>420</v>
      </c>
      <c r="H877" s="1" t="s">
        <v>7330</v>
      </c>
      <c r="I877" s="5">
        <v>39572</v>
      </c>
      <c r="J877" s="18" t="s">
        <v>11</v>
      </c>
      <c r="K877" s="1" t="s">
        <v>28</v>
      </c>
      <c r="L877" s="1" t="s">
        <v>419</v>
      </c>
      <c r="M877" s="5"/>
      <c r="N877" s="5" t="s">
        <v>11</v>
      </c>
      <c r="O877" s="5" t="s">
        <v>10</v>
      </c>
      <c r="P877" s="1" t="s">
        <v>4211</v>
      </c>
      <c r="Q877" s="1" t="s">
        <v>6258</v>
      </c>
      <c r="R877" s="2" t="s">
        <v>5742</v>
      </c>
      <c r="S877" s="1" t="s">
        <v>6244</v>
      </c>
      <c r="T877" s="1">
        <v>14639</v>
      </c>
      <c r="U877" s="1">
        <v>2684</v>
      </c>
      <c r="Y877" s="1">
        <v>2684</v>
      </c>
      <c r="AH877" s="1">
        <v>11955</v>
      </c>
      <c r="AI877" s="1">
        <v>4561</v>
      </c>
      <c r="AL877" s="1">
        <v>7394</v>
      </c>
    </row>
    <row r="878" spans="1:38" x14ac:dyDescent="0.2">
      <c r="A878" s="1" t="s">
        <v>421</v>
      </c>
      <c r="B878" s="1">
        <v>18454148</v>
      </c>
      <c r="C878" s="1" t="s">
        <v>7420</v>
      </c>
      <c r="E878" s="21">
        <v>18</v>
      </c>
      <c r="G878" s="1" t="s">
        <v>370</v>
      </c>
      <c r="H878" s="1" t="s">
        <v>7229</v>
      </c>
      <c r="I878" s="5">
        <v>39572</v>
      </c>
      <c r="J878" s="18" t="s">
        <v>11</v>
      </c>
      <c r="K878" s="1" t="s">
        <v>28</v>
      </c>
      <c r="L878" s="1" t="s">
        <v>422</v>
      </c>
      <c r="M878" s="5"/>
      <c r="N878" s="5" t="s">
        <v>10</v>
      </c>
      <c r="O878" s="5" t="s">
        <v>10</v>
      </c>
      <c r="P878" s="1" t="s">
        <v>3762</v>
      </c>
      <c r="Q878" s="1" t="s">
        <v>4952</v>
      </c>
      <c r="R878" s="2" t="s">
        <v>5847</v>
      </c>
      <c r="S878" s="1" t="s">
        <v>6243</v>
      </c>
      <c r="T878" s="1">
        <v>77228</v>
      </c>
      <c r="U878" s="1">
        <v>16876</v>
      </c>
      <c r="V878" s="1">
        <v>16876</v>
      </c>
      <c r="AH878" s="1">
        <v>60352</v>
      </c>
      <c r="AI878" s="1">
        <v>60352</v>
      </c>
    </row>
    <row r="879" spans="1:38" x14ac:dyDescent="0.2">
      <c r="A879" s="1" t="s">
        <v>411</v>
      </c>
      <c r="B879" s="1">
        <v>18455228</v>
      </c>
      <c r="C879" s="1" t="s">
        <v>7420</v>
      </c>
      <c r="E879" s="21">
        <v>139</v>
      </c>
      <c r="G879" s="1" t="s">
        <v>413</v>
      </c>
      <c r="H879" s="1" t="s">
        <v>7234</v>
      </c>
      <c r="I879" s="5">
        <v>39567</v>
      </c>
      <c r="J879" s="18" t="s">
        <v>11</v>
      </c>
      <c r="K879" s="1" t="s">
        <v>351</v>
      </c>
      <c r="L879" s="1" t="s">
        <v>412</v>
      </c>
      <c r="M879" s="5"/>
      <c r="N879" s="5" t="s">
        <v>11</v>
      </c>
      <c r="O879" s="5" t="s">
        <v>10</v>
      </c>
      <c r="P879" s="1" t="s">
        <v>3781</v>
      </c>
      <c r="Q879" s="1" t="s">
        <v>4625</v>
      </c>
      <c r="R879" s="2" t="s">
        <v>4412</v>
      </c>
      <c r="S879" s="1" t="s">
        <v>6243</v>
      </c>
      <c r="T879" s="1">
        <v>8557</v>
      </c>
      <c r="U879" s="1">
        <v>2094</v>
      </c>
      <c r="V879" s="1">
        <v>2094</v>
      </c>
      <c r="AH879" s="1">
        <v>6463</v>
      </c>
      <c r="AI879" s="1">
        <v>6463</v>
      </c>
    </row>
    <row r="880" spans="1:38" x14ac:dyDescent="0.2">
      <c r="A880" s="1" t="s">
        <v>423</v>
      </c>
      <c r="B880" s="1">
        <v>18462017</v>
      </c>
      <c r="C880" s="1" t="s">
        <v>7420</v>
      </c>
      <c r="E880" s="21">
        <v>6499</v>
      </c>
      <c r="F880" s="17">
        <v>1</v>
      </c>
      <c r="G880" s="1" t="s">
        <v>2418</v>
      </c>
      <c r="H880" s="1" t="s">
        <v>7359</v>
      </c>
      <c r="I880" s="5">
        <v>39574</v>
      </c>
      <c r="J880" s="18" t="s">
        <v>10</v>
      </c>
      <c r="K880" s="1" t="s">
        <v>2819</v>
      </c>
      <c r="L880" s="1" t="s">
        <v>2820</v>
      </c>
      <c r="M880" s="5"/>
      <c r="N880" s="5" t="s">
        <v>10</v>
      </c>
      <c r="O880" s="5" t="s">
        <v>10</v>
      </c>
      <c r="P880" s="2" t="s">
        <v>5130</v>
      </c>
      <c r="Q880" s="1" t="s">
        <v>33</v>
      </c>
      <c r="R880" s="10" t="s">
        <v>6025</v>
      </c>
      <c r="S880" s="1" t="s">
        <v>6243</v>
      </c>
      <c r="T880" s="1">
        <v>427</v>
      </c>
      <c r="U880" s="1">
        <v>427</v>
      </c>
      <c r="V880" s="1">
        <v>427</v>
      </c>
    </row>
    <row r="881" spans="1:44" x14ac:dyDescent="0.2">
      <c r="A881" s="1" t="s">
        <v>433</v>
      </c>
      <c r="B881" s="1">
        <v>18463370</v>
      </c>
      <c r="C881" s="1" t="s">
        <v>7420</v>
      </c>
      <c r="E881" s="21">
        <v>5</v>
      </c>
      <c r="G881" s="1" t="s">
        <v>435</v>
      </c>
      <c r="H881" s="1" t="s">
        <v>436</v>
      </c>
      <c r="I881" s="5">
        <v>39577</v>
      </c>
      <c r="J881" s="18" t="s">
        <v>11</v>
      </c>
      <c r="K881" s="1" t="s">
        <v>157</v>
      </c>
      <c r="L881" s="1" t="s">
        <v>434</v>
      </c>
      <c r="M881" s="5"/>
      <c r="N881" s="5" t="s">
        <v>10</v>
      </c>
      <c r="O881" s="5" t="s">
        <v>10</v>
      </c>
      <c r="P881" s="1" t="s">
        <v>6089</v>
      </c>
      <c r="Q881" s="1" t="s">
        <v>6088</v>
      </c>
      <c r="R881" s="2" t="s">
        <v>5675</v>
      </c>
      <c r="S881" s="1" t="s">
        <v>6243</v>
      </c>
      <c r="T881" s="1">
        <v>5923</v>
      </c>
      <c r="U881" s="1">
        <v>3075</v>
      </c>
      <c r="V881" s="1">
        <v>3075</v>
      </c>
      <c r="AH881" s="1">
        <v>2848</v>
      </c>
      <c r="AI881" s="1">
        <v>2848</v>
      </c>
    </row>
    <row r="882" spans="1:44" x14ac:dyDescent="0.2">
      <c r="A882" s="1" t="s">
        <v>424</v>
      </c>
      <c r="B882" s="1">
        <v>18463975</v>
      </c>
      <c r="C882" s="1" t="s">
        <v>7420</v>
      </c>
      <c r="E882" s="21">
        <v>74</v>
      </c>
      <c r="G882" s="1" t="s">
        <v>2565</v>
      </c>
      <c r="H882" s="1" t="s">
        <v>6678</v>
      </c>
      <c r="I882" s="5">
        <v>39576</v>
      </c>
      <c r="J882" s="18" t="s">
        <v>11</v>
      </c>
      <c r="K882" s="1" t="s">
        <v>425</v>
      </c>
      <c r="L882" s="1" t="s">
        <v>426</v>
      </c>
      <c r="M882" s="5"/>
      <c r="N882" s="5" t="s">
        <v>11</v>
      </c>
      <c r="O882" s="5" t="s">
        <v>11</v>
      </c>
      <c r="P882" s="1" t="s">
        <v>6259</v>
      </c>
      <c r="Q882" s="1" t="s">
        <v>33</v>
      </c>
      <c r="R882" s="2" t="s">
        <v>5864</v>
      </c>
      <c r="S882" s="1" t="s">
        <v>6244</v>
      </c>
      <c r="T882" s="1">
        <v>60</v>
      </c>
      <c r="U882" s="1">
        <v>60</v>
      </c>
      <c r="V882" s="1">
        <v>52</v>
      </c>
      <c r="W882" s="1">
        <v>2</v>
      </c>
      <c r="Z882" s="1">
        <v>6</v>
      </c>
    </row>
    <row r="883" spans="1:44" x14ac:dyDescent="0.2">
      <c r="A883" s="1" t="s">
        <v>431</v>
      </c>
      <c r="B883" s="1">
        <v>18464913</v>
      </c>
      <c r="C883" s="1" t="s">
        <v>7420</v>
      </c>
      <c r="E883" s="21">
        <v>170</v>
      </c>
      <c r="G883" s="1" t="s">
        <v>6921</v>
      </c>
      <c r="H883" s="1" t="s">
        <v>7310</v>
      </c>
      <c r="I883" s="5">
        <v>39577</v>
      </c>
      <c r="J883" s="18" t="s">
        <v>11</v>
      </c>
      <c r="K883" s="1" t="s">
        <v>65</v>
      </c>
      <c r="L883" s="1" t="s">
        <v>432</v>
      </c>
      <c r="M883" s="5"/>
      <c r="N883" s="5" t="s">
        <v>10</v>
      </c>
      <c r="O883" s="5" t="s">
        <v>10</v>
      </c>
      <c r="P883" s="1" t="s">
        <v>3734</v>
      </c>
      <c r="Q883" s="1" t="s">
        <v>33</v>
      </c>
      <c r="R883" s="2" t="s">
        <v>5687</v>
      </c>
      <c r="S883" s="1" t="s">
        <v>6243</v>
      </c>
      <c r="T883" s="1">
        <v>1200</v>
      </c>
      <c r="U883" s="1">
        <v>1200</v>
      </c>
      <c r="V883" s="1">
        <v>1200</v>
      </c>
    </row>
    <row r="884" spans="1:44" x14ac:dyDescent="0.2">
      <c r="A884" s="1" t="s">
        <v>427</v>
      </c>
      <c r="B884" s="1">
        <v>18471798</v>
      </c>
      <c r="C884" s="1" t="s">
        <v>7420</v>
      </c>
      <c r="E884" s="21">
        <v>28</v>
      </c>
      <c r="G884" s="1" t="s">
        <v>6889</v>
      </c>
      <c r="H884" s="1" t="s">
        <v>6890</v>
      </c>
      <c r="I884" s="5">
        <v>39576</v>
      </c>
      <c r="J884" s="18" t="s">
        <v>11</v>
      </c>
      <c r="K884" s="1" t="s">
        <v>16</v>
      </c>
      <c r="L884" s="1" t="s">
        <v>428</v>
      </c>
      <c r="M884" s="5"/>
      <c r="N884" s="5" t="s">
        <v>11</v>
      </c>
      <c r="O884" s="5" t="s">
        <v>11</v>
      </c>
      <c r="P884" s="1" t="s">
        <v>3685</v>
      </c>
      <c r="Q884" s="1" t="s">
        <v>4140</v>
      </c>
      <c r="R884" s="2" t="s">
        <v>5757</v>
      </c>
      <c r="S884" s="1" t="s">
        <v>6243</v>
      </c>
      <c r="T884" s="1">
        <v>4191</v>
      </c>
      <c r="U884" s="1">
        <v>642</v>
      </c>
      <c r="V884" s="1">
        <v>642</v>
      </c>
      <c r="AH884" s="1">
        <v>3549</v>
      </c>
      <c r="AI884" s="1">
        <v>3549</v>
      </c>
    </row>
    <row r="885" spans="1:44" x14ac:dyDescent="0.2">
      <c r="A885" s="1" t="s">
        <v>437</v>
      </c>
      <c r="B885" s="1">
        <v>18478092</v>
      </c>
      <c r="C885" s="1" t="s">
        <v>7420</v>
      </c>
      <c r="E885" s="21">
        <v>12</v>
      </c>
      <c r="F885" s="17">
        <v>1</v>
      </c>
      <c r="G885" s="1" t="s">
        <v>438</v>
      </c>
      <c r="H885" s="1" t="s">
        <v>7358</v>
      </c>
      <c r="I885" s="5">
        <v>39582</v>
      </c>
      <c r="J885" s="18" t="s">
        <v>10</v>
      </c>
      <c r="K885" s="1" t="s">
        <v>181</v>
      </c>
      <c r="L885" s="1" t="s">
        <v>2821</v>
      </c>
      <c r="M885" s="5"/>
      <c r="N885" s="5" t="s">
        <v>10</v>
      </c>
      <c r="O885" s="5" t="s">
        <v>10</v>
      </c>
      <c r="P885" s="1" t="s">
        <v>6416</v>
      </c>
      <c r="Q885" s="1" t="s">
        <v>3336</v>
      </c>
      <c r="R885" s="10" t="s">
        <v>5918</v>
      </c>
      <c r="S885" s="1" t="s">
        <v>6248</v>
      </c>
      <c r="T885" s="1">
        <v>336</v>
      </c>
      <c r="U885" s="1">
        <v>82</v>
      </c>
      <c r="AE885" s="1">
        <v>82</v>
      </c>
      <c r="AH885" s="1">
        <v>254</v>
      </c>
      <c r="AI885" s="1">
        <v>60</v>
      </c>
      <c r="AJ885" s="1">
        <v>60</v>
      </c>
      <c r="AR885" s="1">
        <v>134</v>
      </c>
    </row>
    <row r="886" spans="1:44" x14ac:dyDescent="0.2">
      <c r="A886" s="1" t="s">
        <v>439</v>
      </c>
      <c r="B886" s="1">
        <v>18483556</v>
      </c>
      <c r="C886" s="1" t="s">
        <v>7420</v>
      </c>
      <c r="E886" s="21">
        <v>27534</v>
      </c>
      <c r="G886" s="1" t="s">
        <v>280</v>
      </c>
      <c r="H886" s="1" t="s">
        <v>7015</v>
      </c>
      <c r="I886" s="5">
        <v>39584</v>
      </c>
      <c r="J886" s="18" t="s">
        <v>11</v>
      </c>
      <c r="K886" s="1" t="s">
        <v>65</v>
      </c>
      <c r="L886" s="1" t="s">
        <v>440</v>
      </c>
      <c r="M886" s="5"/>
      <c r="N886" s="5" t="s">
        <v>11</v>
      </c>
      <c r="O886" s="5" t="s">
        <v>10</v>
      </c>
      <c r="P886" s="1" t="s">
        <v>3789</v>
      </c>
      <c r="Q886" s="1" t="s">
        <v>6260</v>
      </c>
      <c r="R886" s="2" t="s">
        <v>4781</v>
      </c>
      <c r="S886" s="1" t="s">
        <v>6243</v>
      </c>
      <c r="T886" s="1">
        <v>10752</v>
      </c>
      <c r="U886" s="1">
        <v>2287</v>
      </c>
      <c r="V886" s="1">
        <v>2287</v>
      </c>
      <c r="AH886" s="1">
        <v>8465</v>
      </c>
      <c r="AI886" s="1">
        <v>8465</v>
      </c>
    </row>
    <row r="887" spans="1:44" x14ac:dyDescent="0.2">
      <c r="A887" s="1" t="s">
        <v>441</v>
      </c>
      <c r="B887" s="1">
        <v>18488026</v>
      </c>
      <c r="C887" s="1" t="s">
        <v>7420</v>
      </c>
      <c r="E887" s="21">
        <v>25</v>
      </c>
      <c r="G887" s="1" t="s">
        <v>6866</v>
      </c>
      <c r="H887" s="1" t="s">
        <v>2562</v>
      </c>
      <c r="I887" s="5">
        <v>39586</v>
      </c>
      <c r="J887" s="18" t="s">
        <v>11</v>
      </c>
      <c r="K887" s="1" t="s">
        <v>28</v>
      </c>
      <c r="L887" s="1" t="s">
        <v>442</v>
      </c>
      <c r="M887" s="5"/>
      <c r="N887" s="5" t="s">
        <v>10</v>
      </c>
      <c r="O887" s="5" t="s">
        <v>10</v>
      </c>
      <c r="P887" s="1" t="s">
        <v>3489</v>
      </c>
      <c r="Q887" s="1" t="s">
        <v>3943</v>
      </c>
      <c r="R887" s="2" t="s">
        <v>5975</v>
      </c>
      <c r="S887" s="1" t="s">
        <v>6243</v>
      </c>
      <c r="T887" s="1">
        <v>4209</v>
      </c>
      <c r="U887" s="1">
        <v>1728</v>
      </c>
      <c r="V887" s="1">
        <v>1728</v>
      </c>
      <c r="AH887" s="1">
        <v>2481</v>
      </c>
      <c r="AI887" s="1">
        <v>2481</v>
      </c>
    </row>
    <row r="888" spans="1:44" x14ac:dyDescent="0.2">
      <c r="A888" s="1" t="s">
        <v>277</v>
      </c>
      <c r="B888" s="1">
        <v>18488028</v>
      </c>
      <c r="C888" s="1" t="s">
        <v>7420</v>
      </c>
      <c r="E888" s="21">
        <v>259</v>
      </c>
      <c r="G888" s="1" t="s">
        <v>280</v>
      </c>
      <c r="H888" s="1" t="s">
        <v>281</v>
      </c>
      <c r="I888" s="5">
        <v>39586</v>
      </c>
      <c r="J888" s="18" t="s">
        <v>11</v>
      </c>
      <c r="K888" s="1" t="s">
        <v>28</v>
      </c>
      <c r="L888" s="1" t="s">
        <v>443</v>
      </c>
      <c r="M888" s="5"/>
      <c r="N888" s="5" t="s">
        <v>10</v>
      </c>
      <c r="O888" s="5" t="s">
        <v>10</v>
      </c>
      <c r="P888" s="1" t="s">
        <v>3587</v>
      </c>
      <c r="Q888" s="1" t="s">
        <v>4311</v>
      </c>
      <c r="R888" s="2" t="s">
        <v>5697</v>
      </c>
      <c r="S888" s="1" t="s">
        <v>6243</v>
      </c>
      <c r="T888" s="1">
        <v>8460</v>
      </c>
      <c r="U888" s="1">
        <v>5130</v>
      </c>
      <c r="V888" s="1">
        <v>5130</v>
      </c>
      <c r="AH888" s="1">
        <v>3330</v>
      </c>
      <c r="AI888" s="1">
        <v>3330</v>
      </c>
    </row>
    <row r="889" spans="1:44" x14ac:dyDescent="0.2">
      <c r="A889" s="1" t="s">
        <v>2639</v>
      </c>
      <c r="B889" s="1">
        <v>18488030</v>
      </c>
      <c r="C889" s="1" t="s">
        <v>7420</v>
      </c>
      <c r="E889" s="21">
        <v>25</v>
      </c>
      <c r="G889" s="1" t="s">
        <v>6808</v>
      </c>
      <c r="H889" s="1" t="s">
        <v>6611</v>
      </c>
      <c r="I889" s="5">
        <v>39586</v>
      </c>
      <c r="J889" s="18" t="s">
        <v>10</v>
      </c>
      <c r="K889" s="1" t="s">
        <v>28</v>
      </c>
      <c r="L889" s="1" t="s">
        <v>2822</v>
      </c>
      <c r="N889" s="5" t="s">
        <v>10</v>
      </c>
      <c r="O889" s="5" t="s">
        <v>10</v>
      </c>
      <c r="P889" s="1" t="s">
        <v>3052</v>
      </c>
      <c r="Q889" s="1" t="s">
        <v>6649</v>
      </c>
      <c r="R889" s="2" t="s">
        <v>5943</v>
      </c>
      <c r="S889" s="1" t="s">
        <v>6242</v>
      </c>
      <c r="T889" s="1">
        <v>3286</v>
      </c>
      <c r="U889" s="1">
        <v>940</v>
      </c>
      <c r="X889" s="1">
        <v>940</v>
      </c>
      <c r="AH889" s="1">
        <v>2346</v>
      </c>
      <c r="AK889" s="1">
        <v>2346</v>
      </c>
    </row>
    <row r="890" spans="1:44" x14ac:dyDescent="0.2">
      <c r="A890" s="1" t="s">
        <v>81</v>
      </c>
      <c r="B890" s="1">
        <v>18519826</v>
      </c>
      <c r="C890" s="1" t="s">
        <v>7420</v>
      </c>
      <c r="E890" s="21">
        <v>599</v>
      </c>
      <c r="G890" s="1" t="s">
        <v>2570</v>
      </c>
      <c r="H890" s="1" t="s">
        <v>7156</v>
      </c>
      <c r="I890" s="5">
        <v>39603</v>
      </c>
      <c r="J890" s="18" t="s">
        <v>11</v>
      </c>
      <c r="K890" s="1" t="s">
        <v>361</v>
      </c>
      <c r="L890" s="1" t="s">
        <v>449</v>
      </c>
      <c r="M890" s="5"/>
      <c r="N890" s="5" t="s">
        <v>10</v>
      </c>
      <c r="O890" s="5" t="s">
        <v>10</v>
      </c>
      <c r="P890" s="1" t="s">
        <v>3794</v>
      </c>
      <c r="Q890" s="1" t="s">
        <v>33</v>
      </c>
      <c r="R890" s="2" t="s">
        <v>4950</v>
      </c>
      <c r="S890" s="1" t="s">
        <v>6243</v>
      </c>
      <c r="T890" s="1">
        <v>550</v>
      </c>
      <c r="U890" s="1">
        <v>550</v>
      </c>
      <c r="V890" s="1">
        <v>550</v>
      </c>
    </row>
    <row r="891" spans="1:44" x14ac:dyDescent="0.2">
      <c r="A891" s="1" t="s">
        <v>444</v>
      </c>
      <c r="B891" s="1">
        <v>18521090</v>
      </c>
      <c r="C891" s="1" t="s">
        <v>7420</v>
      </c>
      <c r="E891" s="21">
        <v>6</v>
      </c>
      <c r="G891" s="1" t="s">
        <v>7084</v>
      </c>
      <c r="H891" s="1" t="s">
        <v>446</v>
      </c>
      <c r="I891" s="5">
        <v>39602</v>
      </c>
      <c r="J891" s="18" t="s">
        <v>11</v>
      </c>
      <c r="K891" s="1" t="s">
        <v>71</v>
      </c>
      <c r="L891" s="1" t="s">
        <v>445</v>
      </c>
      <c r="M891" s="5"/>
      <c r="N891" s="5" t="s">
        <v>10</v>
      </c>
      <c r="O891" s="5" t="s">
        <v>10</v>
      </c>
      <c r="P891" s="1" t="s">
        <v>6074</v>
      </c>
      <c r="Q891" s="1" t="s">
        <v>6075</v>
      </c>
      <c r="R891" s="2" t="s">
        <v>5836</v>
      </c>
      <c r="S891" s="1" t="s">
        <v>6244</v>
      </c>
      <c r="T891" s="1">
        <v>210</v>
      </c>
      <c r="U891" s="1">
        <v>106</v>
      </c>
      <c r="AE891" s="1">
        <v>106</v>
      </c>
      <c r="AH891" s="1">
        <v>104</v>
      </c>
      <c r="AQ891" s="1">
        <v>104</v>
      </c>
    </row>
    <row r="892" spans="1:44" x14ac:dyDescent="0.2">
      <c r="A892" s="1" t="s">
        <v>447</v>
      </c>
      <c r="B892" s="1">
        <v>18521091</v>
      </c>
      <c r="C892" s="1" t="s">
        <v>7420</v>
      </c>
      <c r="E892" s="21">
        <v>6</v>
      </c>
      <c r="G892" s="1" t="s">
        <v>7085</v>
      </c>
      <c r="H892" s="1" t="s">
        <v>7253</v>
      </c>
      <c r="I892" s="5">
        <v>39602</v>
      </c>
      <c r="J892" s="18" t="s">
        <v>11</v>
      </c>
      <c r="K892" s="1" t="s">
        <v>71</v>
      </c>
      <c r="L892" s="1" t="s">
        <v>448</v>
      </c>
      <c r="M892" s="5"/>
      <c r="N892" s="5" t="s">
        <v>10</v>
      </c>
      <c r="O892" s="5" t="s">
        <v>10</v>
      </c>
      <c r="P892" s="1" t="s">
        <v>6396</v>
      </c>
      <c r="Q892" s="1" t="s">
        <v>33</v>
      </c>
      <c r="R892" s="2" t="s">
        <v>5907</v>
      </c>
      <c r="S892" s="1" t="s">
        <v>6244</v>
      </c>
      <c r="T892" s="1">
        <v>180</v>
      </c>
      <c r="U892" s="1">
        <v>180</v>
      </c>
      <c r="V892" s="1">
        <v>66</v>
      </c>
      <c r="W892" s="1">
        <v>91</v>
      </c>
      <c r="AE892" s="1">
        <v>23</v>
      </c>
    </row>
    <row r="893" spans="1:44" x14ac:dyDescent="0.2">
      <c r="A893" s="1" t="s">
        <v>450</v>
      </c>
      <c r="B893" s="1">
        <v>18521185</v>
      </c>
      <c r="C893" s="1" t="s">
        <v>7420</v>
      </c>
      <c r="E893" s="21">
        <v>33</v>
      </c>
      <c r="G893" s="1" t="s">
        <v>453</v>
      </c>
      <c r="H893" s="1" t="s">
        <v>7381</v>
      </c>
      <c r="I893" s="5">
        <v>39603</v>
      </c>
      <c r="J893" s="18" t="s">
        <v>11</v>
      </c>
      <c r="K893" s="1" t="s">
        <v>451</v>
      </c>
      <c r="L893" s="1" t="s">
        <v>452</v>
      </c>
      <c r="M893" s="5"/>
      <c r="N893" s="5" t="s">
        <v>10</v>
      </c>
      <c r="O893" s="5" t="s">
        <v>10</v>
      </c>
      <c r="P893" s="1" t="s">
        <v>3590</v>
      </c>
      <c r="Q893" s="1" t="s">
        <v>4799</v>
      </c>
      <c r="R893" s="2" t="s">
        <v>5683</v>
      </c>
      <c r="S893" s="1" t="s">
        <v>6243</v>
      </c>
      <c r="T893" s="1">
        <v>23524</v>
      </c>
      <c r="U893" s="1">
        <v>5088</v>
      </c>
      <c r="V893" s="1">
        <v>5088</v>
      </c>
      <c r="AH893" s="1">
        <v>18436</v>
      </c>
      <c r="AI893" s="1">
        <v>18436</v>
      </c>
    </row>
    <row r="894" spans="1:44" x14ac:dyDescent="0.2">
      <c r="A894" s="1" t="s">
        <v>454</v>
      </c>
      <c r="B894" s="1">
        <v>18535201</v>
      </c>
      <c r="C894" s="1" t="s">
        <v>7420</v>
      </c>
      <c r="E894" s="21">
        <v>26550</v>
      </c>
      <c r="G894" s="1" t="s">
        <v>457</v>
      </c>
      <c r="H894" s="1" t="s">
        <v>458</v>
      </c>
      <c r="I894" s="5">
        <v>39604</v>
      </c>
      <c r="J894" s="18" t="s">
        <v>11</v>
      </c>
      <c r="K894" s="1" t="s">
        <v>455</v>
      </c>
      <c r="L894" s="1" t="s">
        <v>456</v>
      </c>
      <c r="M894" s="5"/>
      <c r="N894" s="5" t="s">
        <v>10</v>
      </c>
      <c r="O894" s="5" t="s">
        <v>10</v>
      </c>
      <c r="P894" s="1" t="s">
        <v>5618</v>
      </c>
      <c r="Q894" s="1" t="s">
        <v>5619</v>
      </c>
      <c r="R894" s="2" t="s">
        <v>5717</v>
      </c>
      <c r="S894" s="1" t="s">
        <v>6243</v>
      </c>
      <c r="T894" s="1">
        <v>555</v>
      </c>
      <c r="U894" s="1">
        <v>181</v>
      </c>
      <c r="V894" s="1">
        <v>181</v>
      </c>
      <c r="AH894" s="1">
        <v>374</v>
      </c>
      <c r="AI894" s="1">
        <v>374</v>
      </c>
    </row>
    <row r="895" spans="1:44" x14ac:dyDescent="0.2">
      <c r="A895" s="1" t="s">
        <v>461</v>
      </c>
      <c r="B895" s="1">
        <v>18576341</v>
      </c>
      <c r="C895" s="1" t="s">
        <v>7420</v>
      </c>
      <c r="D895" s="1" t="s">
        <v>7411</v>
      </c>
      <c r="E895" s="21">
        <v>2</v>
      </c>
      <c r="G895" s="1" t="s">
        <v>6855</v>
      </c>
      <c r="H895" s="1" t="s">
        <v>7337</v>
      </c>
      <c r="I895" s="5">
        <v>39623</v>
      </c>
      <c r="J895" s="18" t="s">
        <v>11</v>
      </c>
      <c r="K895" s="1" t="s">
        <v>462</v>
      </c>
      <c r="L895" s="1" t="s">
        <v>463</v>
      </c>
      <c r="M895" s="5"/>
      <c r="N895" s="5" t="s">
        <v>10</v>
      </c>
      <c r="O895" s="5" t="s">
        <v>10</v>
      </c>
      <c r="P895" s="1" t="s">
        <v>6392</v>
      </c>
      <c r="Q895" s="1" t="s">
        <v>33</v>
      </c>
      <c r="R895" s="2" t="s">
        <v>5797</v>
      </c>
      <c r="S895" s="1" t="s">
        <v>6389</v>
      </c>
      <c r="T895" s="1">
        <v>2082</v>
      </c>
      <c r="U895" s="1">
        <v>2082</v>
      </c>
      <c r="V895" s="1">
        <v>2019</v>
      </c>
      <c r="AE895" s="1">
        <v>63</v>
      </c>
    </row>
    <row r="896" spans="1:44" x14ac:dyDescent="0.2">
      <c r="A896" s="1" t="s">
        <v>464</v>
      </c>
      <c r="B896" s="1">
        <v>18587394</v>
      </c>
      <c r="C896" s="1" t="s">
        <v>7420</v>
      </c>
      <c r="E896" s="21">
        <v>44281</v>
      </c>
      <c r="G896" s="1" t="s">
        <v>21</v>
      </c>
      <c r="H896" s="1" t="s">
        <v>22</v>
      </c>
      <c r="I896" s="5">
        <v>39628</v>
      </c>
      <c r="J896" s="18" t="s">
        <v>11</v>
      </c>
      <c r="K896" s="1" t="s">
        <v>28</v>
      </c>
      <c r="L896" s="1" t="s">
        <v>465</v>
      </c>
      <c r="M896" s="5"/>
      <c r="N896" s="5" t="s">
        <v>10</v>
      </c>
      <c r="O896" s="5" t="s">
        <v>10</v>
      </c>
      <c r="P896" s="1" t="s">
        <v>3707</v>
      </c>
      <c r="Q896" s="1" t="s">
        <v>3708</v>
      </c>
      <c r="R896" s="2" t="s">
        <v>6012</v>
      </c>
      <c r="S896" s="1" t="s">
        <v>6243</v>
      </c>
      <c r="T896" s="1">
        <v>16210</v>
      </c>
      <c r="U896" s="1">
        <v>8059</v>
      </c>
      <c r="V896" s="1">
        <v>8059</v>
      </c>
      <c r="AH896" s="1">
        <v>8151</v>
      </c>
      <c r="AI896" s="1">
        <v>8151</v>
      </c>
    </row>
    <row r="897" spans="1:37" x14ac:dyDescent="0.2">
      <c r="A897" s="1" t="s">
        <v>466</v>
      </c>
      <c r="B897" s="1">
        <v>18591461</v>
      </c>
      <c r="C897" s="1" t="s">
        <v>7420</v>
      </c>
      <c r="D897" s="1" t="s">
        <v>7411</v>
      </c>
      <c r="E897" s="21">
        <v>1</v>
      </c>
      <c r="G897" s="1" t="s">
        <v>6942</v>
      </c>
      <c r="H897" s="1" t="s">
        <v>7158</v>
      </c>
      <c r="I897" s="5">
        <v>39629</v>
      </c>
      <c r="J897" s="18" t="s">
        <v>11</v>
      </c>
      <c r="K897" s="1" t="s">
        <v>293</v>
      </c>
      <c r="L897" s="1" t="s">
        <v>467</v>
      </c>
      <c r="M897" s="5"/>
      <c r="N897" s="5" t="s">
        <v>10</v>
      </c>
      <c r="O897" s="5" t="s">
        <v>10</v>
      </c>
      <c r="P897" s="1" t="s">
        <v>5626</v>
      </c>
      <c r="Q897" s="1" t="s">
        <v>33</v>
      </c>
      <c r="R897" s="2" t="s">
        <v>5853</v>
      </c>
      <c r="S897" s="1" t="s">
        <v>6244</v>
      </c>
      <c r="T897" s="1">
        <v>389</v>
      </c>
      <c r="U897" s="1">
        <v>389</v>
      </c>
      <c r="V897" s="1">
        <v>195</v>
      </c>
      <c r="W897" s="1">
        <v>194</v>
      </c>
    </row>
    <row r="898" spans="1:37" x14ac:dyDescent="0.2">
      <c r="A898" s="1" t="s">
        <v>468</v>
      </c>
      <c r="B898" s="1">
        <v>18594024</v>
      </c>
      <c r="C898" s="1" t="s">
        <v>7420</v>
      </c>
      <c r="E898" s="21">
        <v>4</v>
      </c>
      <c r="G898" s="1" t="s">
        <v>470</v>
      </c>
      <c r="H898" s="1" t="s">
        <v>6893</v>
      </c>
      <c r="I898" s="5">
        <v>39630</v>
      </c>
      <c r="J898" s="18" t="s">
        <v>11</v>
      </c>
      <c r="K898" s="1" t="s">
        <v>455</v>
      </c>
      <c r="L898" s="1" t="s">
        <v>469</v>
      </c>
      <c r="M898" s="5"/>
      <c r="N898" s="5" t="s">
        <v>10</v>
      </c>
      <c r="O898" s="5" t="s">
        <v>10</v>
      </c>
      <c r="P898" s="1" t="s">
        <v>3864</v>
      </c>
      <c r="Q898" s="1" t="s">
        <v>33</v>
      </c>
      <c r="R898" s="2" t="s">
        <v>5858</v>
      </c>
      <c r="S898" s="1" t="s">
        <v>6243</v>
      </c>
      <c r="T898" s="1">
        <v>85</v>
      </c>
      <c r="U898" s="1">
        <v>85</v>
      </c>
      <c r="V898" s="1">
        <v>85</v>
      </c>
    </row>
    <row r="899" spans="1:37" x14ac:dyDescent="0.2">
      <c r="A899" s="1" t="s">
        <v>472</v>
      </c>
      <c r="B899" s="1">
        <v>18604267</v>
      </c>
      <c r="C899" s="1" t="s">
        <v>7420</v>
      </c>
      <c r="E899" s="21">
        <v>22</v>
      </c>
      <c r="G899" s="1" t="s">
        <v>6910</v>
      </c>
      <c r="H899" s="1" t="s">
        <v>7318</v>
      </c>
      <c r="I899" s="5">
        <v>39633</v>
      </c>
      <c r="J899" s="18" t="s">
        <v>11</v>
      </c>
      <c r="K899" s="1" t="s">
        <v>65</v>
      </c>
      <c r="L899" s="1" t="s">
        <v>471</v>
      </c>
      <c r="M899" s="5"/>
      <c r="N899" s="5" t="s">
        <v>11</v>
      </c>
      <c r="O899" s="5" t="s">
        <v>11</v>
      </c>
      <c r="P899" s="1" t="s">
        <v>3624</v>
      </c>
      <c r="Q899" s="1" t="s">
        <v>4147</v>
      </c>
      <c r="R899" s="2" t="s">
        <v>5767</v>
      </c>
      <c r="S899" s="1" t="s">
        <v>6243</v>
      </c>
      <c r="T899" s="1">
        <v>6578</v>
      </c>
      <c r="U899" s="1">
        <v>4570</v>
      </c>
      <c r="V899" s="1">
        <v>4570</v>
      </c>
      <c r="AH899" s="1">
        <v>2008</v>
      </c>
      <c r="AI899" s="1">
        <v>2008</v>
      </c>
    </row>
    <row r="900" spans="1:37" x14ac:dyDescent="0.2">
      <c r="A900" s="1" t="s">
        <v>473</v>
      </c>
      <c r="B900" s="1">
        <v>18615156</v>
      </c>
      <c r="C900" s="1" t="s">
        <v>7420</v>
      </c>
      <c r="E900" s="21">
        <v>434</v>
      </c>
      <c r="G900" s="1" t="s">
        <v>476</v>
      </c>
      <c r="H900" s="1" t="s">
        <v>7339</v>
      </c>
      <c r="I900" s="5">
        <v>39639</v>
      </c>
      <c r="J900" s="18" t="s">
        <v>11</v>
      </c>
      <c r="K900" s="1" t="s">
        <v>474</v>
      </c>
      <c r="L900" s="1" t="s">
        <v>475</v>
      </c>
      <c r="M900" s="5"/>
      <c r="N900" s="5" t="s">
        <v>10</v>
      </c>
      <c r="O900" s="5" t="s">
        <v>10</v>
      </c>
      <c r="P900" s="1" t="s">
        <v>3486</v>
      </c>
      <c r="Q900" s="1" t="s">
        <v>33</v>
      </c>
      <c r="R900" s="2" t="s">
        <v>5817</v>
      </c>
      <c r="S900" s="1" t="s">
        <v>6243</v>
      </c>
      <c r="T900" s="1">
        <v>89</v>
      </c>
      <c r="U900" s="1">
        <v>89</v>
      </c>
      <c r="V900" s="1">
        <v>89</v>
      </c>
    </row>
    <row r="901" spans="1:37" x14ac:dyDescent="0.2">
      <c r="A901" s="1" t="s">
        <v>2630</v>
      </c>
      <c r="B901" s="1">
        <v>18622395</v>
      </c>
      <c r="C901" s="1" t="s">
        <v>7420</v>
      </c>
      <c r="E901" s="21">
        <v>13</v>
      </c>
      <c r="G901" s="1" t="s">
        <v>6858</v>
      </c>
      <c r="H901" s="1" t="s">
        <v>430</v>
      </c>
      <c r="I901" s="5">
        <v>39640</v>
      </c>
      <c r="J901" s="18" t="s">
        <v>10</v>
      </c>
      <c r="K901" s="1" t="s">
        <v>28</v>
      </c>
      <c r="L901" s="1" t="s">
        <v>2823</v>
      </c>
      <c r="N901" s="5" t="s">
        <v>10</v>
      </c>
      <c r="O901" s="5" t="s">
        <v>10</v>
      </c>
      <c r="P901" s="1" t="s">
        <v>3051</v>
      </c>
      <c r="Q901" s="1" t="s">
        <v>6261</v>
      </c>
      <c r="R901" s="2" t="s">
        <v>5940</v>
      </c>
      <c r="S901" s="1" t="s">
        <v>6242</v>
      </c>
      <c r="T901" s="1">
        <v>2309</v>
      </c>
      <c r="U901" s="1">
        <v>752</v>
      </c>
      <c r="X901" s="1">
        <v>752</v>
      </c>
      <c r="AH901" s="1">
        <v>1557</v>
      </c>
      <c r="AK901" s="1">
        <v>1557</v>
      </c>
    </row>
    <row r="902" spans="1:37" x14ac:dyDescent="0.2">
      <c r="A902" s="1" t="s">
        <v>480</v>
      </c>
      <c r="B902" s="1">
        <v>18650507</v>
      </c>
      <c r="C902" s="1" t="s">
        <v>7420</v>
      </c>
      <c r="E902" s="21">
        <v>154</v>
      </c>
      <c r="G902" s="1" t="s">
        <v>481</v>
      </c>
      <c r="H902" s="1" t="s">
        <v>7159</v>
      </c>
      <c r="I902" s="5">
        <v>39652</v>
      </c>
      <c r="J902" s="18" t="s">
        <v>11</v>
      </c>
      <c r="K902" s="1" t="s">
        <v>157</v>
      </c>
      <c r="L902" s="1" t="s">
        <v>479</v>
      </c>
      <c r="M902" s="5"/>
      <c r="N902" s="5" t="s">
        <v>10</v>
      </c>
      <c r="O902" s="5" t="s">
        <v>10</v>
      </c>
      <c r="P902" s="1" t="s">
        <v>3496</v>
      </c>
      <c r="Q902" s="1" t="s">
        <v>4888</v>
      </c>
      <c r="R902" s="2" t="s">
        <v>5814</v>
      </c>
      <c r="S902" s="1" t="s">
        <v>6243</v>
      </c>
      <c r="T902" s="1">
        <v>20031</v>
      </c>
      <c r="U902" s="1">
        <v>175</v>
      </c>
      <c r="V902" s="1">
        <v>175</v>
      </c>
      <c r="AH902" s="1">
        <v>19856</v>
      </c>
      <c r="AI902" s="1">
        <v>19856</v>
      </c>
    </row>
    <row r="903" spans="1:37" x14ac:dyDescent="0.2">
      <c r="A903" s="1" t="s">
        <v>482</v>
      </c>
      <c r="B903" s="1">
        <v>18660810</v>
      </c>
      <c r="C903" s="1" t="s">
        <v>7420</v>
      </c>
      <c r="E903" s="21">
        <v>8</v>
      </c>
      <c r="G903" s="1" t="s">
        <v>2560</v>
      </c>
      <c r="H903" s="1" t="s">
        <v>160</v>
      </c>
      <c r="I903" s="5">
        <v>39656</v>
      </c>
      <c r="J903" s="18" t="s">
        <v>11</v>
      </c>
      <c r="K903" s="1" t="s">
        <v>28</v>
      </c>
      <c r="L903" s="1" t="s">
        <v>483</v>
      </c>
      <c r="M903" s="5"/>
      <c r="N903" s="5" t="s">
        <v>10</v>
      </c>
      <c r="O903" s="5" t="s">
        <v>10</v>
      </c>
      <c r="P903" s="1" t="s">
        <v>3564</v>
      </c>
      <c r="Q903" s="1" t="s">
        <v>4314</v>
      </c>
      <c r="R903" s="2" t="s">
        <v>5904</v>
      </c>
      <c r="S903" s="1" t="s">
        <v>6243</v>
      </c>
      <c r="T903" s="1">
        <v>7218</v>
      </c>
      <c r="U903" s="1">
        <v>2272</v>
      </c>
      <c r="V903" s="1">
        <v>2272</v>
      </c>
      <c r="AH903" s="1">
        <v>4946</v>
      </c>
      <c r="AI903" s="1">
        <v>4946</v>
      </c>
    </row>
    <row r="904" spans="1:37" x14ac:dyDescent="0.2">
      <c r="A904" s="1" t="s">
        <v>3651</v>
      </c>
      <c r="B904" s="1">
        <v>18668548</v>
      </c>
      <c r="C904" s="1" t="s">
        <v>7420</v>
      </c>
      <c r="E904" s="21">
        <v>51600</v>
      </c>
      <c r="G904" s="1" t="s">
        <v>48</v>
      </c>
      <c r="H904" s="1" t="s">
        <v>7340</v>
      </c>
      <c r="I904" s="5">
        <v>39661</v>
      </c>
      <c r="J904" s="18" t="s">
        <v>11</v>
      </c>
      <c r="K904" s="1" t="s">
        <v>462</v>
      </c>
      <c r="L904" s="1" t="s">
        <v>488</v>
      </c>
      <c r="M904" s="5"/>
      <c r="N904" s="5" t="s">
        <v>10</v>
      </c>
      <c r="O904" s="5" t="s">
        <v>10</v>
      </c>
      <c r="P904" s="1" t="s">
        <v>3652</v>
      </c>
      <c r="Q904" s="1" t="s">
        <v>3653</v>
      </c>
      <c r="R904" s="2" t="s">
        <v>5764</v>
      </c>
      <c r="S904" s="1" t="s">
        <v>6243</v>
      </c>
      <c r="T904" s="1">
        <v>1604</v>
      </c>
      <c r="U904" s="1">
        <v>800</v>
      </c>
      <c r="V904" s="1">
        <v>800</v>
      </c>
      <c r="AH904" s="1">
        <v>804</v>
      </c>
      <c r="AI904" s="1">
        <v>804</v>
      </c>
    </row>
    <row r="905" spans="1:37" x14ac:dyDescent="0.2">
      <c r="A905" s="1" t="s">
        <v>484</v>
      </c>
      <c r="B905" s="1">
        <v>18677311</v>
      </c>
      <c r="C905" s="1" t="s">
        <v>7420</v>
      </c>
      <c r="E905" s="21">
        <v>35</v>
      </c>
      <c r="G905" s="1" t="s">
        <v>74</v>
      </c>
      <c r="H905" s="1" t="s">
        <v>2545</v>
      </c>
      <c r="I905" s="5">
        <v>39659</v>
      </c>
      <c r="J905" s="18" t="s">
        <v>11</v>
      </c>
      <c r="K905" s="1" t="s">
        <v>28</v>
      </c>
      <c r="L905" s="1" t="s">
        <v>485</v>
      </c>
      <c r="M905" s="5"/>
      <c r="N905" s="5" t="s">
        <v>10</v>
      </c>
      <c r="O905" s="5" t="s">
        <v>10</v>
      </c>
      <c r="P905" s="1" t="s">
        <v>3606</v>
      </c>
      <c r="Q905" s="1" t="s">
        <v>3607</v>
      </c>
      <c r="R905" s="2" t="s">
        <v>5891</v>
      </c>
      <c r="S905" s="1" t="s">
        <v>6244</v>
      </c>
      <c r="T905" s="1">
        <v>20147</v>
      </c>
      <c r="U905" s="1">
        <v>3416</v>
      </c>
      <c r="V905" s="1">
        <v>3416</v>
      </c>
      <c r="AH905" s="1">
        <v>16731</v>
      </c>
      <c r="AI905" s="1">
        <v>13084</v>
      </c>
      <c r="AK905" s="1">
        <v>3647</v>
      </c>
    </row>
    <row r="906" spans="1:37" x14ac:dyDescent="0.2">
      <c r="A906" s="1" t="s">
        <v>497</v>
      </c>
      <c r="B906" s="1">
        <v>18711365</v>
      </c>
      <c r="C906" s="1" t="s">
        <v>7420</v>
      </c>
      <c r="E906" s="21">
        <v>62</v>
      </c>
      <c r="G906" s="1" t="s">
        <v>112</v>
      </c>
      <c r="H906" s="1" t="s">
        <v>7145</v>
      </c>
      <c r="I906" s="5">
        <v>39677</v>
      </c>
      <c r="J906" s="18" t="s">
        <v>11</v>
      </c>
      <c r="K906" s="1" t="s">
        <v>28</v>
      </c>
      <c r="L906" s="1" t="s">
        <v>498</v>
      </c>
      <c r="M906" s="5"/>
      <c r="N906" s="5" t="s">
        <v>10</v>
      </c>
      <c r="O906" s="5" t="s">
        <v>10</v>
      </c>
      <c r="P906" s="1" t="s">
        <v>6101</v>
      </c>
      <c r="Q906" s="1" t="s">
        <v>33</v>
      </c>
      <c r="R906" s="2" t="s">
        <v>5885</v>
      </c>
      <c r="S906" s="1" t="s">
        <v>6243</v>
      </c>
      <c r="T906" s="1">
        <v>10596</v>
      </c>
      <c r="U906" s="1">
        <v>10596</v>
      </c>
      <c r="V906" s="1">
        <v>10596</v>
      </c>
    </row>
    <row r="907" spans="1:37" x14ac:dyDescent="0.2">
      <c r="A907" s="1" t="s">
        <v>493</v>
      </c>
      <c r="B907" s="1">
        <v>18711366</v>
      </c>
      <c r="C907" s="1" t="s">
        <v>7420</v>
      </c>
      <c r="E907" s="21">
        <v>30</v>
      </c>
      <c r="G907" s="1" t="s">
        <v>61</v>
      </c>
      <c r="H907" s="1" t="s">
        <v>7396</v>
      </c>
      <c r="I907" s="5">
        <v>39677</v>
      </c>
      <c r="J907" s="18" t="s">
        <v>11</v>
      </c>
      <c r="K907" s="1" t="s">
        <v>28</v>
      </c>
      <c r="L907" s="1" t="s">
        <v>494</v>
      </c>
      <c r="M907" s="5"/>
      <c r="N907" s="5" t="s">
        <v>10</v>
      </c>
      <c r="O907" s="5" t="s">
        <v>10</v>
      </c>
      <c r="P907" s="1" t="s">
        <v>4038</v>
      </c>
      <c r="Q907" s="1" t="s">
        <v>4441</v>
      </c>
      <c r="R907" s="2" t="s">
        <v>4737</v>
      </c>
      <c r="S907" s="1" t="s">
        <v>6244</v>
      </c>
      <c r="T907" s="1">
        <v>21241</v>
      </c>
      <c r="U907" s="1">
        <v>1752</v>
      </c>
      <c r="X907" s="1">
        <v>1752</v>
      </c>
      <c r="AH907" s="1">
        <v>19489</v>
      </c>
      <c r="AI907" s="1">
        <v>8779</v>
      </c>
      <c r="AK907" s="1">
        <v>10710</v>
      </c>
    </row>
    <row r="908" spans="1:37" x14ac:dyDescent="0.2">
      <c r="A908" s="1" t="s">
        <v>496</v>
      </c>
      <c r="B908" s="1">
        <v>18711367</v>
      </c>
      <c r="C908" s="1" t="s">
        <v>7420</v>
      </c>
      <c r="E908" s="21">
        <v>230</v>
      </c>
      <c r="G908" s="1" t="s">
        <v>61</v>
      </c>
      <c r="H908" s="1" t="s">
        <v>7396</v>
      </c>
      <c r="I908" s="5">
        <v>39677</v>
      </c>
      <c r="J908" s="18" t="s">
        <v>11</v>
      </c>
      <c r="K908" s="1" t="s">
        <v>28</v>
      </c>
      <c r="L908" s="1" t="s">
        <v>495</v>
      </c>
      <c r="M908" s="5"/>
      <c r="N908" s="5" t="s">
        <v>10</v>
      </c>
      <c r="O908" s="5" t="s">
        <v>10</v>
      </c>
      <c r="P908" s="1" t="s">
        <v>4034</v>
      </c>
      <c r="Q908" s="1" t="s">
        <v>4660</v>
      </c>
      <c r="R908" s="2" t="s">
        <v>4188</v>
      </c>
      <c r="S908" s="1" t="s">
        <v>6244</v>
      </c>
      <c r="T908" s="1">
        <v>21434</v>
      </c>
      <c r="U908" s="1">
        <v>1691</v>
      </c>
      <c r="X908" s="1">
        <v>1691</v>
      </c>
      <c r="AH908" s="1">
        <v>19743</v>
      </c>
      <c r="AI908" s="1">
        <v>6570</v>
      </c>
      <c r="AK908" s="1">
        <v>13173</v>
      </c>
    </row>
    <row r="909" spans="1:37" x14ac:dyDescent="0.2">
      <c r="A909" s="1" t="s">
        <v>180</v>
      </c>
      <c r="B909" s="1">
        <v>18723019</v>
      </c>
      <c r="C909" s="1" t="s">
        <v>7420</v>
      </c>
      <c r="E909" s="21">
        <v>166</v>
      </c>
      <c r="G909" s="1" t="s">
        <v>21</v>
      </c>
      <c r="H909" s="1" t="s">
        <v>22</v>
      </c>
      <c r="I909" s="5">
        <v>39650</v>
      </c>
      <c r="J909" s="18" t="s">
        <v>11</v>
      </c>
      <c r="K909" s="1" t="s">
        <v>477</v>
      </c>
      <c r="L909" s="1" t="s">
        <v>478</v>
      </c>
      <c r="M909" s="5"/>
      <c r="N909" s="5" t="s">
        <v>10</v>
      </c>
      <c r="O909" s="5" t="s">
        <v>10</v>
      </c>
      <c r="P909" s="1" t="s">
        <v>3675</v>
      </c>
      <c r="Q909" s="1" t="s">
        <v>3923</v>
      </c>
      <c r="R909" s="2" t="s">
        <v>5915</v>
      </c>
      <c r="S909" s="1" t="s">
        <v>6243</v>
      </c>
      <c r="T909" s="1">
        <v>3582</v>
      </c>
      <c r="U909" s="1">
        <v>1174</v>
      </c>
      <c r="V909" s="1">
        <v>1174</v>
      </c>
      <c r="AH909" s="1">
        <v>2408</v>
      </c>
      <c r="AI909" s="1">
        <v>2408</v>
      </c>
    </row>
    <row r="910" spans="1:37" x14ac:dyDescent="0.2">
      <c r="A910" s="1" t="s">
        <v>501</v>
      </c>
      <c r="B910" s="1">
        <v>18729187</v>
      </c>
      <c r="C910" s="1" t="s">
        <v>7420</v>
      </c>
      <c r="E910" s="21">
        <v>7</v>
      </c>
      <c r="G910" s="1" t="s">
        <v>6862</v>
      </c>
      <c r="H910" s="1" t="s">
        <v>1809</v>
      </c>
      <c r="I910" s="5">
        <v>39686</v>
      </c>
      <c r="J910" s="18" t="s">
        <v>11</v>
      </c>
      <c r="K910" s="1" t="s">
        <v>502</v>
      </c>
      <c r="L910" s="1" t="s">
        <v>503</v>
      </c>
      <c r="M910" s="5"/>
      <c r="N910" s="5" t="s">
        <v>10</v>
      </c>
      <c r="O910" s="5" t="s">
        <v>10</v>
      </c>
      <c r="P910" s="1" t="s">
        <v>3605</v>
      </c>
      <c r="Q910" s="1" t="s">
        <v>33</v>
      </c>
      <c r="R910" s="2" t="s">
        <v>5973</v>
      </c>
      <c r="S910" s="1" t="s">
        <v>6243</v>
      </c>
      <c r="T910" s="1">
        <v>1004</v>
      </c>
      <c r="U910" s="1">
        <v>1004</v>
      </c>
      <c r="V910" s="1">
        <v>1004</v>
      </c>
    </row>
    <row r="911" spans="1:37" x14ac:dyDescent="0.2">
      <c r="A911" s="1" t="s">
        <v>507</v>
      </c>
      <c r="B911" s="1">
        <v>18758461</v>
      </c>
      <c r="C911" s="1" t="s">
        <v>7420</v>
      </c>
      <c r="E911" s="21">
        <v>136</v>
      </c>
      <c r="G911" s="1" t="s">
        <v>7059</v>
      </c>
      <c r="H911" s="1" t="s">
        <v>6672</v>
      </c>
      <c r="I911" s="5">
        <v>39691</v>
      </c>
      <c r="J911" s="18" t="s">
        <v>11</v>
      </c>
      <c r="K911" s="1" t="s">
        <v>28</v>
      </c>
      <c r="L911" s="1" t="s">
        <v>508</v>
      </c>
      <c r="M911" s="5"/>
      <c r="N911" s="5" t="s">
        <v>10</v>
      </c>
      <c r="O911" s="5" t="s">
        <v>10</v>
      </c>
      <c r="P911" s="1" t="s">
        <v>3594</v>
      </c>
      <c r="Q911" s="1" t="s">
        <v>3934</v>
      </c>
      <c r="R911" s="2" t="s">
        <v>5776</v>
      </c>
      <c r="S911" s="1" t="s">
        <v>6243</v>
      </c>
      <c r="T911" s="1">
        <v>4644</v>
      </c>
      <c r="U911" s="1">
        <v>1943</v>
      </c>
      <c r="V911" s="1">
        <v>1943</v>
      </c>
      <c r="AH911" s="1">
        <v>2701</v>
      </c>
      <c r="AI911" s="1">
        <v>2701</v>
      </c>
    </row>
    <row r="912" spans="1:37" x14ac:dyDescent="0.2">
      <c r="A912" s="1" t="s">
        <v>509</v>
      </c>
      <c r="B912" s="1">
        <v>18758464</v>
      </c>
      <c r="C912" s="1" t="s">
        <v>7420</v>
      </c>
      <c r="E912" s="21">
        <v>46</v>
      </c>
      <c r="G912" s="1" t="s">
        <v>21</v>
      </c>
      <c r="H912" s="1" t="s">
        <v>22</v>
      </c>
      <c r="I912" s="5">
        <v>39691</v>
      </c>
      <c r="J912" s="18" t="s">
        <v>11</v>
      </c>
      <c r="K912" s="1" t="s">
        <v>28</v>
      </c>
      <c r="L912" s="1" t="s">
        <v>510</v>
      </c>
      <c r="M912" s="5"/>
      <c r="N912" s="5" t="s">
        <v>10</v>
      </c>
      <c r="O912" s="5" t="s">
        <v>10</v>
      </c>
      <c r="P912" s="1" t="s">
        <v>6262</v>
      </c>
      <c r="Q912" s="1" t="s">
        <v>6263</v>
      </c>
      <c r="R912" s="2" t="s">
        <v>6445</v>
      </c>
      <c r="S912" s="1" t="s">
        <v>6243</v>
      </c>
      <c r="T912" s="1">
        <v>21307</v>
      </c>
      <c r="U912" s="1">
        <v>5261</v>
      </c>
      <c r="V912" s="1">
        <v>5261</v>
      </c>
      <c r="AH912" s="1">
        <v>16046</v>
      </c>
      <c r="AI912" s="1">
        <v>16046</v>
      </c>
    </row>
    <row r="913" spans="1:37" x14ac:dyDescent="0.2">
      <c r="A913" s="1" t="s">
        <v>511</v>
      </c>
      <c r="B913" s="1">
        <v>18759275</v>
      </c>
      <c r="C913" s="1" t="s">
        <v>7420</v>
      </c>
      <c r="E913" s="21">
        <v>252</v>
      </c>
      <c r="G913" s="1" t="s">
        <v>6733</v>
      </c>
      <c r="H913" s="1" t="s">
        <v>7211</v>
      </c>
      <c r="I913" s="5">
        <v>39692</v>
      </c>
      <c r="J913" s="18" t="s">
        <v>11</v>
      </c>
      <c r="K913" s="1" t="s">
        <v>462</v>
      </c>
      <c r="L913" s="1" t="s">
        <v>512</v>
      </c>
      <c r="M913" s="5"/>
      <c r="N913" s="5" t="s">
        <v>10</v>
      </c>
      <c r="O913" s="5" t="s">
        <v>10</v>
      </c>
      <c r="P913" s="1" t="s">
        <v>7018</v>
      </c>
      <c r="Q913" s="1" t="s">
        <v>33</v>
      </c>
      <c r="R913" s="2" t="s">
        <v>4114</v>
      </c>
      <c r="S913" s="1" t="s">
        <v>6243</v>
      </c>
      <c r="T913" s="1">
        <v>868</v>
      </c>
      <c r="U913" s="1">
        <v>868</v>
      </c>
      <c r="V913" s="1">
        <v>868</v>
      </c>
    </row>
    <row r="914" spans="1:37" x14ac:dyDescent="0.2">
      <c r="A914" s="1" t="s">
        <v>504</v>
      </c>
      <c r="B914" s="1">
        <v>18760390</v>
      </c>
      <c r="C914" s="1" t="s">
        <v>7420</v>
      </c>
      <c r="D914" s="1">
        <v>1</v>
      </c>
      <c r="E914" s="21">
        <v>0</v>
      </c>
      <c r="G914" s="1" t="s">
        <v>506</v>
      </c>
      <c r="H914" s="1" t="s">
        <v>1273</v>
      </c>
      <c r="I914" s="5">
        <v>39688</v>
      </c>
      <c r="J914" s="18" t="s">
        <v>11</v>
      </c>
      <c r="K914" s="1" t="s">
        <v>16</v>
      </c>
      <c r="L914" s="1" t="s">
        <v>505</v>
      </c>
      <c r="M914" s="5"/>
      <c r="N914" s="5" t="s">
        <v>10</v>
      </c>
      <c r="O914" s="5" t="s">
        <v>10</v>
      </c>
      <c r="P914" s="1" t="s">
        <v>5497</v>
      </c>
      <c r="Q914" s="1" t="s">
        <v>33</v>
      </c>
      <c r="R914" s="2" t="s">
        <v>5838</v>
      </c>
      <c r="S914" s="1" t="s">
        <v>6243</v>
      </c>
      <c r="T914" s="1">
        <v>1081</v>
      </c>
      <c r="U914" s="1">
        <v>1081</v>
      </c>
      <c r="V914" s="1">
        <v>1081</v>
      </c>
    </row>
    <row r="915" spans="1:37" x14ac:dyDescent="0.2">
      <c r="A915" s="1" t="s">
        <v>513</v>
      </c>
      <c r="B915" s="1">
        <v>18762592</v>
      </c>
      <c r="C915" s="1" t="s">
        <v>7420</v>
      </c>
      <c r="E915" s="21">
        <v>20294</v>
      </c>
      <c r="G915" s="1" t="s">
        <v>178</v>
      </c>
      <c r="H915" s="1" t="s">
        <v>179</v>
      </c>
      <c r="I915" s="5">
        <v>39692</v>
      </c>
      <c r="J915" s="18" t="s">
        <v>11</v>
      </c>
      <c r="K915" s="1" t="s">
        <v>361</v>
      </c>
      <c r="L915" s="1" t="s">
        <v>514</v>
      </c>
      <c r="M915" s="5"/>
      <c r="N915" s="5" t="s">
        <v>10</v>
      </c>
      <c r="O915" s="5" t="s">
        <v>10</v>
      </c>
      <c r="P915" s="1" t="s">
        <v>3838</v>
      </c>
      <c r="Q915" s="1" t="s">
        <v>5662</v>
      </c>
      <c r="R915" s="2" t="s">
        <v>4947</v>
      </c>
      <c r="S915" s="1" t="s">
        <v>6243</v>
      </c>
      <c r="T915" s="1">
        <v>3107</v>
      </c>
      <c r="U915" s="1">
        <v>1227</v>
      </c>
      <c r="V915" s="1">
        <v>1227</v>
      </c>
      <c r="AH915" s="1">
        <v>1880</v>
      </c>
      <c r="AI915" s="1">
        <v>1880</v>
      </c>
    </row>
    <row r="916" spans="1:37" x14ac:dyDescent="0.2">
      <c r="A916" s="1" t="s">
        <v>1799</v>
      </c>
      <c r="B916" s="1">
        <v>18765826</v>
      </c>
      <c r="C916" s="1" t="s">
        <v>7420</v>
      </c>
      <c r="E916" s="21">
        <v>743</v>
      </c>
      <c r="F916" s="17">
        <v>1</v>
      </c>
      <c r="G916" s="1" t="s">
        <v>6781</v>
      </c>
      <c r="H916" s="1" t="s">
        <v>7342</v>
      </c>
      <c r="I916" s="5">
        <v>39693</v>
      </c>
      <c r="J916" s="18" t="s">
        <v>10</v>
      </c>
      <c r="K916" s="1" t="s">
        <v>2824</v>
      </c>
      <c r="L916" s="1" t="s">
        <v>2825</v>
      </c>
      <c r="M916" s="5"/>
      <c r="N916" s="5" t="s">
        <v>10</v>
      </c>
      <c r="O916" s="5" t="s">
        <v>10</v>
      </c>
      <c r="P916" s="1" t="s">
        <v>5484</v>
      </c>
      <c r="Q916" s="1" t="s">
        <v>33</v>
      </c>
      <c r="R916" s="2" t="s">
        <v>3026</v>
      </c>
      <c r="S916" s="1" t="s">
        <v>6440</v>
      </c>
      <c r="T916" s="1">
        <v>89</v>
      </c>
      <c r="U916" s="1">
        <v>89</v>
      </c>
      <c r="W916" s="1">
        <v>89</v>
      </c>
    </row>
    <row r="917" spans="1:37" x14ac:dyDescent="0.2">
      <c r="A917" s="1" t="s">
        <v>515</v>
      </c>
      <c r="B917" s="1">
        <v>18776911</v>
      </c>
      <c r="C917" s="1" t="s">
        <v>7420</v>
      </c>
      <c r="E917" s="21">
        <v>4</v>
      </c>
      <c r="G917" s="1" t="s">
        <v>6912</v>
      </c>
      <c r="H917" s="1" t="s">
        <v>7318</v>
      </c>
      <c r="I917" s="5">
        <v>39698</v>
      </c>
      <c r="J917" s="18" t="s">
        <v>11</v>
      </c>
      <c r="K917" s="1" t="s">
        <v>28</v>
      </c>
      <c r="L917" s="1" t="s">
        <v>516</v>
      </c>
      <c r="M917" s="5"/>
      <c r="N917" s="5" t="s">
        <v>11</v>
      </c>
      <c r="O917" s="5" t="s">
        <v>11</v>
      </c>
      <c r="P917" s="1" t="s">
        <v>3760</v>
      </c>
      <c r="Q917" s="1" t="s">
        <v>3905</v>
      </c>
      <c r="R917" s="2" t="s">
        <v>5708</v>
      </c>
      <c r="S917" s="1" t="s">
        <v>6243</v>
      </c>
      <c r="T917" s="1">
        <v>2717</v>
      </c>
      <c r="U917" s="1">
        <v>1658</v>
      </c>
      <c r="V917" s="1">
        <v>1658</v>
      </c>
      <c r="AH917" s="1">
        <v>1059</v>
      </c>
      <c r="AI917" s="1">
        <v>1059</v>
      </c>
    </row>
    <row r="918" spans="1:37" x14ac:dyDescent="0.2">
      <c r="A918" s="1" t="s">
        <v>517</v>
      </c>
      <c r="B918" s="1">
        <v>18776929</v>
      </c>
      <c r="C918" s="1" t="s">
        <v>7420</v>
      </c>
      <c r="E918" s="21">
        <v>120</v>
      </c>
      <c r="G918" s="1" t="s">
        <v>519</v>
      </c>
      <c r="H918" s="1" t="s">
        <v>7235</v>
      </c>
      <c r="I918" s="5">
        <v>39699</v>
      </c>
      <c r="J918" s="18" t="s">
        <v>11</v>
      </c>
      <c r="K918" s="1" t="s">
        <v>181</v>
      </c>
      <c r="L918" s="1" t="s">
        <v>518</v>
      </c>
      <c r="M918" s="5"/>
      <c r="N918" s="5" t="s">
        <v>11</v>
      </c>
      <c r="O918" s="5" t="s">
        <v>10</v>
      </c>
      <c r="P918" s="1" t="s">
        <v>3595</v>
      </c>
      <c r="Q918" s="1" t="s">
        <v>3933</v>
      </c>
      <c r="R918" s="2" t="s">
        <v>5897</v>
      </c>
      <c r="S918" s="1" t="s">
        <v>6243</v>
      </c>
      <c r="T918" s="1">
        <v>2216</v>
      </c>
      <c r="U918" s="1">
        <v>1000</v>
      </c>
      <c r="V918" s="1">
        <v>1000</v>
      </c>
      <c r="AH918" s="1">
        <v>1216</v>
      </c>
      <c r="AI918" s="1">
        <v>1216</v>
      </c>
    </row>
    <row r="919" spans="1:37" x14ac:dyDescent="0.2">
      <c r="A919" s="1" t="s">
        <v>526</v>
      </c>
      <c r="B919" s="1">
        <v>18780872</v>
      </c>
      <c r="C919" s="1" t="s">
        <v>7420</v>
      </c>
      <c r="E919" s="21">
        <v>6</v>
      </c>
      <c r="G919" s="1" t="s">
        <v>54</v>
      </c>
      <c r="H919" s="1" t="s">
        <v>1809</v>
      </c>
      <c r="I919" s="5">
        <v>39708</v>
      </c>
      <c r="J919" s="18" t="s">
        <v>11</v>
      </c>
      <c r="K919" s="1" t="s">
        <v>311</v>
      </c>
      <c r="L919" s="1" t="s">
        <v>527</v>
      </c>
      <c r="M919" s="5"/>
      <c r="N919" s="5" t="s">
        <v>10</v>
      </c>
      <c r="O919" s="5" t="s">
        <v>10</v>
      </c>
      <c r="P919" s="1" t="s">
        <v>6174</v>
      </c>
      <c r="Q919" s="1" t="s">
        <v>6175</v>
      </c>
      <c r="R919" s="2" t="s">
        <v>5854</v>
      </c>
      <c r="S919" s="1" t="s">
        <v>6243</v>
      </c>
      <c r="T919" s="1">
        <v>9122</v>
      </c>
      <c r="U919" s="1">
        <v>413</v>
      </c>
      <c r="V919" s="1">
        <v>413</v>
      </c>
      <c r="AH919" s="1">
        <v>8709</v>
      </c>
      <c r="AI919" s="1">
        <v>8709</v>
      </c>
    </row>
    <row r="920" spans="1:37" x14ac:dyDescent="0.2">
      <c r="A920" s="1" t="s">
        <v>520</v>
      </c>
      <c r="B920" s="1">
        <v>18794853</v>
      </c>
      <c r="C920" s="1" t="s">
        <v>7420</v>
      </c>
      <c r="E920" s="21">
        <v>85</v>
      </c>
      <c r="G920" s="1" t="s">
        <v>48</v>
      </c>
      <c r="H920" s="1" t="s">
        <v>7340</v>
      </c>
      <c r="I920" s="5">
        <v>39705</v>
      </c>
      <c r="J920" s="18" t="s">
        <v>11</v>
      </c>
      <c r="K920" s="1" t="s">
        <v>28</v>
      </c>
      <c r="L920" s="1" t="s">
        <v>521</v>
      </c>
      <c r="M920" s="5"/>
      <c r="N920" s="5" t="s">
        <v>10</v>
      </c>
      <c r="O920" s="5" t="s">
        <v>10</v>
      </c>
      <c r="P920" s="1" t="s">
        <v>3703</v>
      </c>
      <c r="Q920" s="1" t="s">
        <v>4533</v>
      </c>
      <c r="R920" s="2" t="s">
        <v>6047</v>
      </c>
      <c r="S920" s="1" t="s">
        <v>6243</v>
      </c>
      <c r="T920" s="1">
        <v>25589</v>
      </c>
      <c r="U920" s="1">
        <v>15853</v>
      </c>
      <c r="V920" s="1">
        <v>15853</v>
      </c>
      <c r="AH920" s="1">
        <v>9736</v>
      </c>
      <c r="AI920" s="1">
        <v>9736</v>
      </c>
    </row>
    <row r="921" spans="1:37" x14ac:dyDescent="0.2">
      <c r="A921" s="1" t="s">
        <v>522</v>
      </c>
      <c r="B921" s="1">
        <v>18794855</v>
      </c>
      <c r="C921" s="1" t="s">
        <v>7420</v>
      </c>
      <c r="E921" s="21">
        <v>12</v>
      </c>
      <c r="G921" s="1" t="s">
        <v>524</v>
      </c>
      <c r="H921" s="1" t="s">
        <v>525</v>
      </c>
      <c r="I921" s="5">
        <v>39705</v>
      </c>
      <c r="J921" s="18" t="s">
        <v>11</v>
      </c>
      <c r="K921" s="1" t="s">
        <v>28</v>
      </c>
      <c r="L921" s="1" t="s">
        <v>523</v>
      </c>
      <c r="M921" s="5"/>
      <c r="N921" s="5" t="s">
        <v>10</v>
      </c>
      <c r="O921" s="5" t="s">
        <v>10</v>
      </c>
      <c r="P921" s="1" t="s">
        <v>3768</v>
      </c>
      <c r="Q921" s="1" t="s">
        <v>4300</v>
      </c>
      <c r="R921" s="2" t="s">
        <v>5716</v>
      </c>
      <c r="S921" s="1" t="s">
        <v>6243</v>
      </c>
      <c r="T921" s="1">
        <v>42104</v>
      </c>
      <c r="U921" s="1">
        <v>36139</v>
      </c>
      <c r="V921" s="1">
        <v>36139</v>
      </c>
      <c r="AH921" s="1">
        <v>5965</v>
      </c>
      <c r="AI921" s="1">
        <v>5965</v>
      </c>
    </row>
    <row r="922" spans="1:37" x14ac:dyDescent="0.2">
      <c r="A922" s="1" t="s">
        <v>528</v>
      </c>
      <c r="B922" s="1">
        <v>18802019</v>
      </c>
      <c r="C922" s="1" t="s">
        <v>7420</v>
      </c>
      <c r="E922" s="21">
        <v>9</v>
      </c>
      <c r="G922" s="1" t="s">
        <v>242</v>
      </c>
      <c r="H922" s="1" t="s">
        <v>7160</v>
      </c>
      <c r="I922" s="5">
        <v>39709</v>
      </c>
      <c r="J922" s="18" t="s">
        <v>11</v>
      </c>
      <c r="K922" s="1" t="s">
        <v>529</v>
      </c>
      <c r="L922" s="1" t="s">
        <v>530</v>
      </c>
      <c r="M922" s="5"/>
      <c r="N922" s="5" t="s">
        <v>10</v>
      </c>
      <c r="O922" s="5" t="s">
        <v>10</v>
      </c>
      <c r="P922" s="1" t="s">
        <v>4204</v>
      </c>
      <c r="Q922" s="1" t="s">
        <v>5629</v>
      </c>
      <c r="R922" s="2" t="s">
        <v>4953</v>
      </c>
      <c r="S922" s="1" t="s">
        <v>6244</v>
      </c>
      <c r="T922" s="1">
        <v>5277</v>
      </c>
      <c r="U922" s="1">
        <v>2346</v>
      </c>
      <c r="AB922" s="1">
        <v>2346</v>
      </c>
      <c r="AH922" s="1">
        <v>2931</v>
      </c>
      <c r="AI922" s="1">
        <v>2931</v>
      </c>
    </row>
    <row r="923" spans="1:37" x14ac:dyDescent="0.2">
      <c r="A923" s="1" t="s">
        <v>533</v>
      </c>
      <c r="B923" s="1">
        <v>18820697</v>
      </c>
      <c r="C923" s="1" t="s">
        <v>7420</v>
      </c>
      <c r="E923" s="21">
        <v>37</v>
      </c>
      <c r="G923" s="1" t="s">
        <v>536</v>
      </c>
      <c r="H923" s="1" t="s">
        <v>268</v>
      </c>
      <c r="I923" s="5">
        <v>39719</v>
      </c>
      <c r="J923" s="18" t="s">
        <v>11</v>
      </c>
      <c r="K923" s="1" t="s">
        <v>28</v>
      </c>
      <c r="L923" s="1" t="s">
        <v>534</v>
      </c>
      <c r="M923" s="5"/>
      <c r="N923" s="5" t="s">
        <v>10</v>
      </c>
      <c r="O923" s="5" t="s">
        <v>10</v>
      </c>
      <c r="P923" s="1" t="s">
        <v>535</v>
      </c>
      <c r="Q923" s="1" t="s">
        <v>6092</v>
      </c>
      <c r="R923" s="2" t="s">
        <v>5861</v>
      </c>
      <c r="S923" s="1" t="s">
        <v>6244</v>
      </c>
      <c r="T923" s="1">
        <v>2163</v>
      </c>
      <c r="U923" s="1">
        <v>611</v>
      </c>
      <c r="X923" s="1">
        <v>611</v>
      </c>
      <c r="AH923" s="1">
        <v>1552</v>
      </c>
      <c r="AI923" s="1">
        <v>785</v>
      </c>
      <c r="AJ923" s="1">
        <v>184</v>
      </c>
      <c r="AK923" s="1">
        <v>583</v>
      </c>
    </row>
    <row r="924" spans="1:37" x14ac:dyDescent="0.2">
      <c r="A924" s="1" t="s">
        <v>531</v>
      </c>
      <c r="B924" s="1">
        <v>18821564</v>
      </c>
      <c r="C924" s="1" t="s">
        <v>7420</v>
      </c>
      <c r="E924" s="21">
        <v>29</v>
      </c>
      <c r="G924" s="1" t="s">
        <v>6871</v>
      </c>
      <c r="H924" s="1" t="s">
        <v>7128</v>
      </c>
      <c r="I924" s="5">
        <v>39717</v>
      </c>
      <c r="J924" s="18" t="s">
        <v>11</v>
      </c>
      <c r="K924" s="1" t="s">
        <v>43</v>
      </c>
      <c r="L924" s="1" t="s">
        <v>532</v>
      </c>
      <c r="M924" s="5"/>
      <c r="N924" s="5" t="s">
        <v>10</v>
      </c>
      <c r="O924" s="5" t="s">
        <v>10</v>
      </c>
      <c r="P924" s="1" t="s">
        <v>3856</v>
      </c>
      <c r="Q924" s="1" t="s">
        <v>33</v>
      </c>
      <c r="R924" s="2" t="s">
        <v>5834</v>
      </c>
      <c r="S924" s="1" t="s">
        <v>6244</v>
      </c>
      <c r="T924" s="1">
        <v>165</v>
      </c>
      <c r="U924" s="1">
        <v>165</v>
      </c>
      <c r="V924" s="1">
        <v>105</v>
      </c>
      <c r="W924" s="1">
        <v>26</v>
      </c>
      <c r="Z924" s="1">
        <v>34</v>
      </c>
    </row>
    <row r="925" spans="1:37" x14ac:dyDescent="0.2">
      <c r="A925" s="1" t="s">
        <v>625</v>
      </c>
      <c r="B925" s="1">
        <v>18821565</v>
      </c>
      <c r="C925" s="1" t="s">
        <v>7420</v>
      </c>
      <c r="E925" s="21">
        <v>56</v>
      </c>
      <c r="G925" s="1" t="s">
        <v>591</v>
      </c>
      <c r="H925" s="1" t="s">
        <v>7127</v>
      </c>
      <c r="I925" s="5">
        <v>39787</v>
      </c>
      <c r="J925" s="18" t="s">
        <v>11</v>
      </c>
      <c r="K925" s="1" t="s">
        <v>43</v>
      </c>
      <c r="L925" s="1" t="s">
        <v>626</v>
      </c>
      <c r="M925" s="5"/>
      <c r="N925" s="5" t="s">
        <v>10</v>
      </c>
      <c r="O925" s="5" t="s">
        <v>10</v>
      </c>
      <c r="P925" s="1" t="s">
        <v>3480</v>
      </c>
      <c r="Q925" s="1" t="s">
        <v>33</v>
      </c>
      <c r="R925" s="2" t="s">
        <v>4889</v>
      </c>
      <c r="S925" s="1" t="s">
        <v>6243</v>
      </c>
      <c r="T925" s="1">
        <v>2727</v>
      </c>
      <c r="U925" s="1">
        <v>2727</v>
      </c>
      <c r="V925" s="1">
        <v>2727</v>
      </c>
    </row>
    <row r="926" spans="1:37" x14ac:dyDescent="0.2">
      <c r="A926" s="1" t="s">
        <v>537</v>
      </c>
      <c r="B926" s="1">
        <v>18823527</v>
      </c>
      <c r="C926" s="1" t="s">
        <v>7420</v>
      </c>
      <c r="E926" s="21">
        <v>36</v>
      </c>
      <c r="G926" s="1" t="s">
        <v>128</v>
      </c>
      <c r="H926" s="1" t="s">
        <v>7126</v>
      </c>
      <c r="I926" s="5">
        <v>39720</v>
      </c>
      <c r="J926" s="18" t="s">
        <v>11</v>
      </c>
      <c r="K926" s="1" t="s">
        <v>538</v>
      </c>
      <c r="L926" s="1" t="s">
        <v>539</v>
      </c>
      <c r="M926" s="5"/>
      <c r="N926" s="5" t="s">
        <v>10</v>
      </c>
      <c r="O926" s="5" t="s">
        <v>10</v>
      </c>
      <c r="P926" s="1" t="s">
        <v>5612</v>
      </c>
      <c r="Q926" s="1" t="s">
        <v>3897</v>
      </c>
      <c r="R926" s="2" t="s">
        <v>5977</v>
      </c>
      <c r="S926" s="1" t="s">
        <v>6243</v>
      </c>
      <c r="T926" s="1">
        <v>3721</v>
      </c>
      <c r="U926" s="1">
        <v>2321</v>
      </c>
      <c r="V926" s="1">
        <v>2321</v>
      </c>
      <c r="AH926" s="1">
        <v>1400</v>
      </c>
      <c r="AI926" s="1">
        <v>1400</v>
      </c>
    </row>
    <row r="927" spans="1:37" x14ac:dyDescent="0.2">
      <c r="A927" s="1" t="s">
        <v>546</v>
      </c>
      <c r="B927" s="1">
        <v>18834626</v>
      </c>
      <c r="C927" s="1" t="s">
        <v>7420</v>
      </c>
      <c r="E927" s="21">
        <v>107</v>
      </c>
      <c r="G927" s="1" t="s">
        <v>6733</v>
      </c>
      <c r="H927" s="1" t="s">
        <v>7211</v>
      </c>
      <c r="I927" s="5">
        <v>39722</v>
      </c>
      <c r="J927" s="18" t="s">
        <v>11</v>
      </c>
      <c r="K927" s="1" t="s">
        <v>351</v>
      </c>
      <c r="L927" s="1" t="s">
        <v>547</v>
      </c>
      <c r="M927" s="5"/>
      <c r="N927" s="5" t="s">
        <v>10</v>
      </c>
      <c r="O927" s="5" t="s">
        <v>10</v>
      </c>
      <c r="P927" s="1" t="s">
        <v>5613</v>
      </c>
      <c r="Q927" s="1" t="s">
        <v>5614</v>
      </c>
      <c r="R927" s="2" t="s">
        <v>6019</v>
      </c>
      <c r="S927" s="1" t="s">
        <v>6244</v>
      </c>
      <c r="T927" s="1">
        <v>26714</v>
      </c>
      <c r="U927" s="1">
        <v>11847</v>
      </c>
      <c r="V927" s="1">
        <v>11847</v>
      </c>
      <c r="AH927" s="1">
        <v>14867</v>
      </c>
      <c r="AI927" s="1">
        <v>11024</v>
      </c>
      <c r="AJ927" s="1">
        <v>3843</v>
      </c>
    </row>
    <row r="928" spans="1:37" x14ac:dyDescent="0.2">
      <c r="A928" s="1" t="s">
        <v>540</v>
      </c>
      <c r="B928" s="1">
        <v>18835860</v>
      </c>
      <c r="C928" s="1" t="s">
        <v>7420</v>
      </c>
      <c r="E928" s="21">
        <v>9</v>
      </c>
      <c r="G928" s="1" t="s">
        <v>6634</v>
      </c>
      <c r="H928" s="1" t="s">
        <v>545</v>
      </c>
      <c r="I928" s="5">
        <v>39722</v>
      </c>
      <c r="J928" s="18" t="s">
        <v>11</v>
      </c>
      <c r="K928" s="1" t="s">
        <v>541</v>
      </c>
      <c r="L928" s="1" t="s">
        <v>542</v>
      </c>
      <c r="M928" s="5"/>
      <c r="N928" s="5" t="s">
        <v>10</v>
      </c>
      <c r="O928" s="5" t="s">
        <v>10</v>
      </c>
      <c r="P928" s="1" t="s">
        <v>543</v>
      </c>
      <c r="Q928" s="1" t="s">
        <v>544</v>
      </c>
      <c r="R928" s="2" t="s">
        <v>5704</v>
      </c>
      <c r="S928" s="1" t="s">
        <v>6242</v>
      </c>
      <c r="T928" s="1">
        <v>1711</v>
      </c>
      <c r="U928" s="1">
        <v>1093</v>
      </c>
      <c r="X928" s="1">
        <v>1093</v>
      </c>
      <c r="AH928" s="1">
        <v>618</v>
      </c>
      <c r="AK928" s="1">
        <v>618</v>
      </c>
    </row>
    <row r="929" spans="1:44" x14ac:dyDescent="0.2">
      <c r="A929" s="1" t="s">
        <v>180</v>
      </c>
      <c r="B929" s="1">
        <v>18836448</v>
      </c>
      <c r="C929" s="1" t="s">
        <v>7420</v>
      </c>
      <c r="E929" s="21">
        <v>69</v>
      </c>
      <c r="G929" s="1" t="s">
        <v>557</v>
      </c>
      <c r="H929" s="1" t="s">
        <v>558</v>
      </c>
      <c r="I929" s="5">
        <v>39726</v>
      </c>
      <c r="J929" s="18" t="s">
        <v>11</v>
      </c>
      <c r="K929" s="1" t="s">
        <v>28</v>
      </c>
      <c r="L929" s="1" t="s">
        <v>556</v>
      </c>
      <c r="M929" s="5"/>
      <c r="N929" s="5" t="s">
        <v>10</v>
      </c>
      <c r="O929" s="5" t="s">
        <v>10</v>
      </c>
      <c r="P929" s="1" t="s">
        <v>3729</v>
      </c>
      <c r="Q929" s="1" t="s">
        <v>4294</v>
      </c>
      <c r="R929" s="2" t="s">
        <v>5839</v>
      </c>
      <c r="S929" s="1" t="s">
        <v>6243</v>
      </c>
      <c r="T929" s="1">
        <v>6890</v>
      </c>
      <c r="U929" s="1">
        <v>1944</v>
      </c>
      <c r="V929" s="1">
        <v>1944</v>
      </c>
      <c r="AH929" s="1">
        <v>4946</v>
      </c>
      <c r="AI929" s="1">
        <v>4946</v>
      </c>
    </row>
    <row r="930" spans="1:44" x14ac:dyDescent="0.2">
      <c r="A930" s="1" t="s">
        <v>559</v>
      </c>
      <c r="B930" s="1">
        <v>18839057</v>
      </c>
      <c r="C930" s="1" t="s">
        <v>7420</v>
      </c>
      <c r="E930" s="21">
        <v>30</v>
      </c>
      <c r="G930" s="1" t="s">
        <v>562</v>
      </c>
      <c r="H930" s="1" t="s">
        <v>7127</v>
      </c>
      <c r="I930" s="5">
        <v>39728</v>
      </c>
      <c r="J930" s="18" t="s">
        <v>11</v>
      </c>
      <c r="K930" s="1" t="s">
        <v>560</v>
      </c>
      <c r="L930" s="1" t="s">
        <v>561</v>
      </c>
      <c r="M930" s="5"/>
      <c r="N930" s="5" t="s">
        <v>10</v>
      </c>
      <c r="O930" s="5" t="s">
        <v>10</v>
      </c>
      <c r="P930" s="1" t="s">
        <v>3694</v>
      </c>
      <c r="Q930" s="1" t="s">
        <v>33</v>
      </c>
      <c r="R930" s="2" t="s">
        <v>5971</v>
      </c>
      <c r="S930" s="1" t="s">
        <v>6243</v>
      </c>
      <c r="T930" s="1">
        <v>647</v>
      </c>
      <c r="U930" s="1">
        <v>647</v>
      </c>
      <c r="V930" s="1">
        <v>647</v>
      </c>
    </row>
    <row r="931" spans="1:44" x14ac:dyDescent="0.2">
      <c r="A931" s="1" t="s">
        <v>563</v>
      </c>
      <c r="B931" s="1">
        <v>18840781</v>
      </c>
      <c r="C931" s="1" t="s">
        <v>7420</v>
      </c>
      <c r="E931" s="21">
        <v>34</v>
      </c>
      <c r="G931" s="1" t="s">
        <v>155</v>
      </c>
      <c r="H931" s="1" t="s">
        <v>7400</v>
      </c>
      <c r="I931" s="5">
        <v>39728</v>
      </c>
      <c r="J931" s="18" t="s">
        <v>11</v>
      </c>
      <c r="K931" s="1" t="s">
        <v>90</v>
      </c>
      <c r="L931" s="1" t="s">
        <v>564</v>
      </c>
      <c r="M931" s="5"/>
      <c r="N931" s="5" t="s">
        <v>10</v>
      </c>
      <c r="O931" s="5" t="s">
        <v>10</v>
      </c>
      <c r="P931" s="1" t="s">
        <v>3572</v>
      </c>
      <c r="Q931" s="1" t="s">
        <v>4418</v>
      </c>
      <c r="R931" s="2" t="s">
        <v>5788</v>
      </c>
      <c r="S931" s="1" t="s">
        <v>6243</v>
      </c>
      <c r="T931" s="1">
        <v>11134</v>
      </c>
      <c r="U931" s="1">
        <v>3158</v>
      </c>
      <c r="V931" s="1">
        <v>3158</v>
      </c>
      <c r="AH931" s="1">
        <v>7976</v>
      </c>
      <c r="AI931" s="1">
        <v>7976</v>
      </c>
    </row>
    <row r="932" spans="1:44" x14ac:dyDescent="0.2">
      <c r="A932" s="1" t="s">
        <v>499</v>
      </c>
      <c r="B932" s="1">
        <v>18846228</v>
      </c>
      <c r="C932" s="1" t="s">
        <v>7420</v>
      </c>
      <c r="E932" s="21">
        <v>161</v>
      </c>
      <c r="G932" s="1" t="s">
        <v>6719</v>
      </c>
      <c r="H932" s="1" t="s">
        <v>7277</v>
      </c>
      <c r="I932" s="5">
        <v>39682</v>
      </c>
      <c r="J932" s="18" t="s">
        <v>11</v>
      </c>
      <c r="K932" s="1" t="s">
        <v>65</v>
      </c>
      <c r="L932" s="1" t="s">
        <v>500</v>
      </c>
      <c r="M932" s="5"/>
      <c r="N932" s="5" t="s">
        <v>10</v>
      </c>
      <c r="O932" s="5" t="s">
        <v>10</v>
      </c>
      <c r="P932" s="1" t="s">
        <v>3751</v>
      </c>
      <c r="Q932" s="1" t="s">
        <v>4869</v>
      </c>
      <c r="R932" s="2" t="s">
        <v>5845</v>
      </c>
      <c r="S932" s="1" t="s">
        <v>6243</v>
      </c>
      <c r="T932" s="1">
        <v>11299</v>
      </c>
      <c r="U932" s="1">
        <v>1530</v>
      </c>
      <c r="V932" s="1">
        <v>1530</v>
      </c>
      <c r="AH932" s="1">
        <v>9769</v>
      </c>
      <c r="AI932" s="1">
        <v>9769</v>
      </c>
    </row>
    <row r="933" spans="1:44" x14ac:dyDescent="0.2">
      <c r="A933" s="1" t="s">
        <v>565</v>
      </c>
      <c r="B933" s="1">
        <v>18846501</v>
      </c>
      <c r="C933" s="1" t="s">
        <v>7420</v>
      </c>
      <c r="E933" s="21">
        <v>30</v>
      </c>
      <c r="G933" s="1" t="s">
        <v>567</v>
      </c>
      <c r="H933" s="1" t="s">
        <v>7127</v>
      </c>
      <c r="I933" s="5">
        <v>39728</v>
      </c>
      <c r="J933" s="18" t="s">
        <v>11</v>
      </c>
      <c r="K933" s="1" t="s">
        <v>43</v>
      </c>
      <c r="L933" s="1" t="s">
        <v>566</v>
      </c>
      <c r="M933" s="5"/>
      <c r="N933" s="5" t="s">
        <v>10</v>
      </c>
      <c r="O933" s="5" t="s">
        <v>10</v>
      </c>
      <c r="P933" s="1" t="s">
        <v>3480</v>
      </c>
      <c r="Q933" s="1" t="s">
        <v>33</v>
      </c>
      <c r="R933" s="2" t="s">
        <v>4889</v>
      </c>
      <c r="S933" s="1" t="s">
        <v>6243</v>
      </c>
      <c r="T933" s="1">
        <v>2727</v>
      </c>
      <c r="U933" s="1">
        <v>2727</v>
      </c>
      <c r="V933" s="1">
        <v>2727</v>
      </c>
    </row>
    <row r="934" spans="1:44" x14ac:dyDescent="0.2">
      <c r="A934" s="1" t="s">
        <v>411</v>
      </c>
      <c r="B934" s="1">
        <v>18849991</v>
      </c>
      <c r="C934" s="1" t="s">
        <v>7420</v>
      </c>
      <c r="D934" s="1" t="s">
        <v>7411</v>
      </c>
      <c r="E934" s="21">
        <v>2</v>
      </c>
      <c r="G934" s="1" t="s">
        <v>6708</v>
      </c>
      <c r="H934" s="1" t="s">
        <v>6698</v>
      </c>
      <c r="I934" s="5">
        <v>39733</v>
      </c>
      <c r="J934" s="18" t="s">
        <v>11</v>
      </c>
      <c r="K934" s="1" t="s">
        <v>28</v>
      </c>
      <c r="L934" s="1" t="s">
        <v>570</v>
      </c>
      <c r="M934" s="5"/>
      <c r="N934" s="5" t="s">
        <v>11</v>
      </c>
      <c r="O934" s="5" t="s">
        <v>11</v>
      </c>
      <c r="P934" s="1" t="s">
        <v>6699</v>
      </c>
      <c r="Q934" s="1" t="s">
        <v>6701</v>
      </c>
      <c r="R934" s="2" t="s">
        <v>5902</v>
      </c>
      <c r="S934" s="1" t="s">
        <v>6243</v>
      </c>
      <c r="T934" s="1">
        <v>4961</v>
      </c>
      <c r="U934" s="1">
        <v>1125</v>
      </c>
      <c r="V934" s="1">
        <v>1125</v>
      </c>
      <c r="AH934" s="1">
        <v>3836</v>
      </c>
      <c r="AI934" s="1">
        <v>3836</v>
      </c>
    </row>
    <row r="935" spans="1:44" x14ac:dyDescent="0.2">
      <c r="A935" s="1" t="s">
        <v>118</v>
      </c>
      <c r="B935" s="1">
        <v>18849993</v>
      </c>
      <c r="C935" s="1" t="s">
        <v>7420</v>
      </c>
      <c r="E935" s="21">
        <v>4</v>
      </c>
      <c r="G935" s="1" t="s">
        <v>7058</v>
      </c>
      <c r="H935" s="1" t="s">
        <v>2562</v>
      </c>
      <c r="I935" s="5">
        <v>39733</v>
      </c>
      <c r="J935" s="18" t="s">
        <v>11</v>
      </c>
      <c r="K935" s="1" t="s">
        <v>28</v>
      </c>
      <c r="L935" s="1" t="s">
        <v>572</v>
      </c>
      <c r="M935" s="5"/>
      <c r="N935" s="5" t="s">
        <v>10</v>
      </c>
      <c r="O935" s="5" t="s">
        <v>10</v>
      </c>
      <c r="P935" s="1" t="s">
        <v>3477</v>
      </c>
      <c r="Q935" s="1" t="s">
        <v>4159</v>
      </c>
      <c r="R935" s="2" t="s">
        <v>4410</v>
      </c>
      <c r="S935" s="1" t="s">
        <v>6243</v>
      </c>
      <c r="T935" s="1">
        <v>38107</v>
      </c>
      <c r="U935" s="1">
        <v>34047</v>
      </c>
      <c r="V935" s="1">
        <v>34047</v>
      </c>
      <c r="AH935" s="1">
        <v>4060</v>
      </c>
      <c r="AI935" s="1">
        <v>4060</v>
      </c>
    </row>
    <row r="936" spans="1:44" x14ac:dyDescent="0.2">
      <c r="A936" s="1" t="s">
        <v>573</v>
      </c>
      <c r="B936" s="1">
        <v>18849994</v>
      </c>
      <c r="C936" s="1" t="s">
        <v>7420</v>
      </c>
      <c r="E936" s="21">
        <v>47</v>
      </c>
      <c r="G936" s="1" t="s">
        <v>6708</v>
      </c>
      <c r="H936" s="1" t="s">
        <v>6698</v>
      </c>
      <c r="I936" s="5">
        <v>39733</v>
      </c>
      <c r="J936" s="18" t="s">
        <v>11</v>
      </c>
      <c r="K936" s="1" t="s">
        <v>28</v>
      </c>
      <c r="L936" s="1" t="s">
        <v>574</v>
      </c>
      <c r="M936" s="5"/>
      <c r="N936" s="5" t="s">
        <v>11</v>
      </c>
      <c r="O936" s="5" t="s">
        <v>11</v>
      </c>
      <c r="P936" s="1" t="s">
        <v>6700</v>
      </c>
      <c r="Q936" s="1" t="s">
        <v>6702</v>
      </c>
      <c r="R936" s="2" t="s">
        <v>5744</v>
      </c>
      <c r="S936" s="1" t="s">
        <v>6243</v>
      </c>
      <c r="T936" s="1">
        <v>1196</v>
      </c>
      <c r="U936" s="1">
        <v>643</v>
      </c>
      <c r="V936" s="1">
        <v>643</v>
      </c>
      <c r="AH936" s="1">
        <v>553</v>
      </c>
      <c r="AI936" s="1">
        <v>553</v>
      </c>
    </row>
    <row r="937" spans="1:44" x14ac:dyDescent="0.2">
      <c r="A937" s="1" t="s">
        <v>625</v>
      </c>
      <c r="B937" s="1">
        <v>18937294</v>
      </c>
      <c r="C937" s="1" t="s">
        <v>7420</v>
      </c>
      <c r="E937" s="21">
        <v>34</v>
      </c>
      <c r="G937" s="1" t="s">
        <v>591</v>
      </c>
      <c r="H937" s="1" t="s">
        <v>7127</v>
      </c>
      <c r="I937" s="5">
        <v>39787</v>
      </c>
      <c r="J937" s="18" t="s">
        <v>11</v>
      </c>
      <c r="K937" s="1" t="s">
        <v>43</v>
      </c>
      <c r="L937" s="1" t="s">
        <v>627</v>
      </c>
      <c r="M937" s="5"/>
      <c r="N937" s="5" t="s">
        <v>10</v>
      </c>
      <c r="O937" s="5" t="s">
        <v>10</v>
      </c>
      <c r="P937" s="1" t="s">
        <v>3475</v>
      </c>
      <c r="Q937" s="1" t="s">
        <v>33</v>
      </c>
      <c r="R937" s="2" t="s">
        <v>4889</v>
      </c>
      <c r="S937" s="1" t="s">
        <v>6243</v>
      </c>
      <c r="T937" s="1">
        <v>2790</v>
      </c>
      <c r="U937" s="1">
        <v>2790</v>
      </c>
      <c r="V937" s="1">
        <v>2790</v>
      </c>
    </row>
    <row r="938" spans="1:44" x14ac:dyDescent="0.2">
      <c r="A938" s="1" t="s">
        <v>568</v>
      </c>
      <c r="B938" s="1">
        <v>18940312</v>
      </c>
      <c r="C938" s="1" t="s">
        <v>7420</v>
      </c>
      <c r="E938" s="21">
        <v>81</v>
      </c>
      <c r="G938" s="1" t="s">
        <v>6860</v>
      </c>
      <c r="H938" s="1" t="s">
        <v>7290</v>
      </c>
      <c r="I938" s="5">
        <v>39731</v>
      </c>
      <c r="J938" s="18" t="s">
        <v>11</v>
      </c>
      <c r="K938" s="1" t="s">
        <v>16</v>
      </c>
      <c r="L938" s="1" t="s">
        <v>569</v>
      </c>
      <c r="M938" s="5"/>
      <c r="N938" s="5" t="s">
        <v>10</v>
      </c>
      <c r="O938" s="5" t="s">
        <v>10</v>
      </c>
      <c r="P938" s="1" t="s">
        <v>5643</v>
      </c>
      <c r="Q938" s="1" t="s">
        <v>5644</v>
      </c>
      <c r="R938" s="2" t="s">
        <v>6018</v>
      </c>
      <c r="S938" s="1" t="s">
        <v>6244</v>
      </c>
      <c r="T938" s="1">
        <v>12455</v>
      </c>
      <c r="U938" s="1">
        <v>7751</v>
      </c>
      <c r="V938" s="1">
        <v>7751</v>
      </c>
      <c r="AH938" s="1">
        <v>4704</v>
      </c>
      <c r="AI938" s="1">
        <v>1005</v>
      </c>
      <c r="AL938" s="1">
        <v>3699</v>
      </c>
    </row>
    <row r="939" spans="1:44" x14ac:dyDescent="0.2">
      <c r="A939" s="1" t="s">
        <v>575</v>
      </c>
      <c r="B939" s="1">
        <v>18941528</v>
      </c>
      <c r="C939" s="1" t="s">
        <v>7420</v>
      </c>
      <c r="E939" s="21">
        <v>26</v>
      </c>
      <c r="G939" s="1" t="s">
        <v>175</v>
      </c>
      <c r="H939" s="1" t="s">
        <v>7402</v>
      </c>
      <c r="I939" s="5">
        <v>39743</v>
      </c>
      <c r="J939" s="18" t="s">
        <v>11</v>
      </c>
      <c r="K939" s="1" t="s">
        <v>181</v>
      </c>
      <c r="L939" s="1" t="s">
        <v>576</v>
      </c>
      <c r="M939" s="5"/>
      <c r="N939" s="5" t="s">
        <v>10</v>
      </c>
      <c r="O939" s="5" t="s">
        <v>10</v>
      </c>
      <c r="P939" s="1" t="s">
        <v>6170</v>
      </c>
      <c r="Q939" s="1" t="s">
        <v>6124</v>
      </c>
      <c r="R939" s="2" t="s">
        <v>5967</v>
      </c>
      <c r="S939" s="1" t="s">
        <v>6243</v>
      </c>
      <c r="T939" s="1">
        <v>1234</v>
      </c>
      <c r="U939" s="1">
        <v>484</v>
      </c>
      <c r="V939" s="1">
        <v>484</v>
      </c>
      <c r="AH939" s="1">
        <v>750</v>
      </c>
      <c r="AI939" s="1">
        <v>750</v>
      </c>
    </row>
    <row r="940" spans="1:44" x14ac:dyDescent="0.2">
      <c r="A940" s="1" t="s">
        <v>579</v>
      </c>
      <c r="B940" s="1">
        <v>18951430</v>
      </c>
      <c r="C940" s="1" t="s">
        <v>7420</v>
      </c>
      <c r="E940" s="21">
        <v>54</v>
      </c>
      <c r="G940" s="1" t="s">
        <v>567</v>
      </c>
      <c r="H940" s="1" t="s">
        <v>7127</v>
      </c>
      <c r="I940" s="5">
        <v>39745</v>
      </c>
      <c r="J940" s="18" t="s">
        <v>11</v>
      </c>
      <c r="K940" s="1" t="s">
        <v>43</v>
      </c>
      <c r="L940" s="1" t="s">
        <v>580</v>
      </c>
      <c r="M940" s="5"/>
      <c r="N940" s="5" t="s">
        <v>10</v>
      </c>
      <c r="O940" s="5" t="s">
        <v>10</v>
      </c>
      <c r="P940" s="1" t="s">
        <v>3868</v>
      </c>
      <c r="Q940" s="1" t="s">
        <v>33</v>
      </c>
      <c r="R940" s="2" t="s">
        <v>5936</v>
      </c>
      <c r="S940" s="1" t="s">
        <v>6243</v>
      </c>
      <c r="T940" s="1">
        <v>938</v>
      </c>
      <c r="U940" s="1">
        <v>938</v>
      </c>
      <c r="V940" s="1">
        <v>938</v>
      </c>
    </row>
    <row r="941" spans="1:44" x14ac:dyDescent="0.2">
      <c r="A941" s="1" t="s">
        <v>577</v>
      </c>
      <c r="B941" s="1">
        <v>18952825</v>
      </c>
      <c r="C941" s="1" t="s">
        <v>7420</v>
      </c>
      <c r="E941" s="21">
        <v>26</v>
      </c>
      <c r="G941" s="1" t="s">
        <v>197</v>
      </c>
      <c r="H941" s="1" t="s">
        <v>7270</v>
      </c>
      <c r="I941" s="5">
        <v>39745</v>
      </c>
      <c r="J941" s="18" t="s">
        <v>11</v>
      </c>
      <c r="K941" s="1" t="s">
        <v>103</v>
      </c>
      <c r="L941" s="1" t="s">
        <v>578</v>
      </c>
      <c r="M941" s="5"/>
      <c r="N941" s="5" t="s">
        <v>10</v>
      </c>
      <c r="O941" s="5" t="s">
        <v>10</v>
      </c>
      <c r="P941" s="1" t="s">
        <v>3666</v>
      </c>
      <c r="Q941" s="1" t="s">
        <v>3667</v>
      </c>
      <c r="R941" s="2" t="s">
        <v>4835</v>
      </c>
      <c r="S941" s="1" t="s">
        <v>6244</v>
      </c>
      <c r="T941" s="1">
        <v>39186</v>
      </c>
      <c r="U941" s="1">
        <v>3925</v>
      </c>
      <c r="V941" s="1">
        <v>3925</v>
      </c>
      <c r="AH941" s="1">
        <v>35261</v>
      </c>
      <c r="AI941" s="1">
        <v>34113</v>
      </c>
      <c r="AJ941" s="1">
        <v>1148</v>
      </c>
    </row>
    <row r="942" spans="1:44" x14ac:dyDescent="0.2">
      <c r="A942" s="1" t="s">
        <v>615</v>
      </c>
      <c r="B942" s="1">
        <v>18957941</v>
      </c>
      <c r="C942" s="1" t="s">
        <v>7420</v>
      </c>
      <c r="E942" s="21">
        <v>687</v>
      </c>
      <c r="G942" s="1" t="s">
        <v>178</v>
      </c>
      <c r="H942" s="1" t="s">
        <v>179</v>
      </c>
      <c r="I942" s="5">
        <v>39776</v>
      </c>
      <c r="J942" s="18" t="s">
        <v>11</v>
      </c>
      <c r="K942" s="1" t="s">
        <v>71</v>
      </c>
      <c r="L942" s="1" t="s">
        <v>616</v>
      </c>
      <c r="M942" s="5"/>
      <c r="N942" s="5" t="s">
        <v>10</v>
      </c>
      <c r="O942" s="5" t="s">
        <v>10</v>
      </c>
      <c r="P942" s="1" t="s">
        <v>3656</v>
      </c>
      <c r="Q942" s="1" t="s">
        <v>3657</v>
      </c>
      <c r="R942" s="2" t="s">
        <v>4145</v>
      </c>
      <c r="S942" s="1" t="s">
        <v>6389</v>
      </c>
      <c r="T942" s="1">
        <v>7875</v>
      </c>
      <c r="U942" s="1">
        <v>3972</v>
      </c>
      <c r="V942" s="1">
        <v>3972</v>
      </c>
      <c r="AH942" s="1">
        <v>3903</v>
      </c>
      <c r="AR942" s="1">
        <v>3903</v>
      </c>
    </row>
    <row r="943" spans="1:44" x14ac:dyDescent="0.2">
      <c r="A943" s="1" t="s">
        <v>581</v>
      </c>
      <c r="B943" s="1">
        <v>18976728</v>
      </c>
      <c r="C943" s="1" t="s">
        <v>7420</v>
      </c>
      <c r="E943" s="21">
        <v>9</v>
      </c>
      <c r="G943" s="1" t="s">
        <v>89</v>
      </c>
      <c r="H943" s="1" t="s">
        <v>7126</v>
      </c>
      <c r="I943" s="5">
        <v>39750</v>
      </c>
      <c r="J943" s="18" t="s">
        <v>11</v>
      </c>
      <c r="K943" s="1" t="s">
        <v>16</v>
      </c>
      <c r="L943" s="1" t="s">
        <v>582</v>
      </c>
      <c r="M943" s="5"/>
      <c r="N943" s="5" t="s">
        <v>10</v>
      </c>
      <c r="O943" s="5" t="s">
        <v>10</v>
      </c>
      <c r="P943" s="1" t="s">
        <v>3470</v>
      </c>
      <c r="Q943" s="1" t="s">
        <v>3471</v>
      </c>
      <c r="R943" s="2" t="s">
        <v>5921</v>
      </c>
      <c r="S943" s="1" t="s">
        <v>6244</v>
      </c>
      <c r="T943" s="1">
        <v>4014</v>
      </c>
      <c r="U943" s="1">
        <v>1345</v>
      </c>
      <c r="V943" s="1">
        <v>1345</v>
      </c>
      <c r="AH943" s="1">
        <v>2669</v>
      </c>
      <c r="AI943" s="1">
        <v>2631</v>
      </c>
      <c r="AJ943" s="1">
        <v>38</v>
      </c>
    </row>
    <row r="944" spans="1:44" x14ac:dyDescent="0.2">
      <c r="A944" s="1" t="s">
        <v>583</v>
      </c>
      <c r="B944" s="1">
        <v>18978787</v>
      </c>
      <c r="C944" s="1" t="s">
        <v>7420</v>
      </c>
      <c r="E944" s="21">
        <v>79</v>
      </c>
      <c r="G944" s="1" t="s">
        <v>54</v>
      </c>
      <c r="H944" s="1" t="s">
        <v>1809</v>
      </c>
      <c r="I944" s="5">
        <v>39754</v>
      </c>
      <c r="J944" s="18" t="s">
        <v>11</v>
      </c>
      <c r="K944" s="1" t="s">
        <v>28</v>
      </c>
      <c r="L944" s="1" t="s">
        <v>584</v>
      </c>
      <c r="M944" s="5"/>
      <c r="N944" s="5" t="s">
        <v>10</v>
      </c>
      <c r="O944" s="5" t="s">
        <v>10</v>
      </c>
      <c r="P944" s="1" t="s">
        <v>3777</v>
      </c>
      <c r="Q944" s="1" t="s">
        <v>4789</v>
      </c>
      <c r="R944" s="2" t="s">
        <v>5725</v>
      </c>
      <c r="S944" s="1" t="s">
        <v>6243</v>
      </c>
      <c r="T944" s="1">
        <v>19205</v>
      </c>
      <c r="U944" s="1">
        <v>3390</v>
      </c>
      <c r="V944" s="1">
        <v>3390</v>
      </c>
      <c r="AH944" s="1">
        <v>15815</v>
      </c>
      <c r="AI944" s="1">
        <v>15815</v>
      </c>
    </row>
    <row r="945" spans="1:56" x14ac:dyDescent="0.2">
      <c r="A945" s="1" t="s">
        <v>585</v>
      </c>
      <c r="B945" s="1">
        <v>18978790</v>
      </c>
      <c r="C945" s="1" t="s">
        <v>7420</v>
      </c>
      <c r="E945" s="21">
        <v>88</v>
      </c>
      <c r="G945" s="1" t="s">
        <v>54</v>
      </c>
      <c r="H945" s="1" t="s">
        <v>1809</v>
      </c>
      <c r="I945" s="5">
        <v>39754</v>
      </c>
      <c r="J945" s="18" t="s">
        <v>11</v>
      </c>
      <c r="K945" s="1" t="s">
        <v>28</v>
      </c>
      <c r="L945" s="1" t="s">
        <v>586</v>
      </c>
      <c r="M945" s="5"/>
      <c r="N945" s="5" t="s">
        <v>10</v>
      </c>
      <c r="O945" s="5" t="s">
        <v>10</v>
      </c>
      <c r="P945" s="1" t="s">
        <v>3805</v>
      </c>
      <c r="Q945" s="1" t="s">
        <v>4530</v>
      </c>
      <c r="R945" s="2" t="s">
        <v>5745</v>
      </c>
      <c r="S945" s="1" t="s">
        <v>6243</v>
      </c>
      <c r="T945" s="1">
        <v>15189</v>
      </c>
      <c r="U945" s="1">
        <v>6717</v>
      </c>
      <c r="V945" s="1">
        <v>6717</v>
      </c>
      <c r="AH945" s="1">
        <v>8472</v>
      </c>
      <c r="AI945" s="1">
        <v>8472</v>
      </c>
    </row>
    <row r="946" spans="1:56" x14ac:dyDescent="0.2">
      <c r="A946" s="1" t="s">
        <v>587</v>
      </c>
      <c r="B946" s="1">
        <v>18978792</v>
      </c>
      <c r="C946" s="1" t="s">
        <v>7420</v>
      </c>
      <c r="E946" s="21">
        <v>168</v>
      </c>
      <c r="G946" s="1" t="s">
        <v>155</v>
      </c>
      <c r="H946" s="1" t="s">
        <v>7400</v>
      </c>
      <c r="I946" s="5">
        <v>39754</v>
      </c>
      <c r="J946" s="18" t="s">
        <v>11</v>
      </c>
      <c r="K946" s="1" t="s">
        <v>28</v>
      </c>
      <c r="L946" s="1" t="s">
        <v>588</v>
      </c>
      <c r="M946" s="5"/>
      <c r="N946" s="5" t="s">
        <v>10</v>
      </c>
      <c r="O946" s="5" t="s">
        <v>10</v>
      </c>
      <c r="P946" s="1" t="s">
        <v>3686</v>
      </c>
      <c r="Q946" s="1" t="s">
        <v>4627</v>
      </c>
      <c r="R946" s="2" t="s">
        <v>5875</v>
      </c>
      <c r="S946" s="1" t="s">
        <v>6243</v>
      </c>
      <c r="T946" s="1">
        <v>30570</v>
      </c>
      <c r="U946" s="1">
        <v>8207</v>
      </c>
      <c r="V946" s="1">
        <v>8207</v>
      </c>
      <c r="AH946" s="1">
        <v>22363</v>
      </c>
      <c r="AI946" s="1">
        <v>22363</v>
      </c>
    </row>
    <row r="947" spans="1:56" x14ac:dyDescent="0.2">
      <c r="A947" s="1" t="s">
        <v>589</v>
      </c>
      <c r="B947" s="1">
        <v>18980221</v>
      </c>
      <c r="C947" s="1" t="s">
        <v>7420</v>
      </c>
      <c r="E947" s="21">
        <v>36</v>
      </c>
      <c r="G947" s="1" t="s">
        <v>591</v>
      </c>
      <c r="H947" s="1" t="s">
        <v>7127</v>
      </c>
      <c r="I947" s="5">
        <v>39755</v>
      </c>
      <c r="J947" s="18" t="s">
        <v>11</v>
      </c>
      <c r="K947" s="1" t="s">
        <v>43</v>
      </c>
      <c r="L947" s="1" t="s">
        <v>590</v>
      </c>
      <c r="M947" s="5"/>
      <c r="N947" s="5" t="s">
        <v>10</v>
      </c>
      <c r="O947" s="5" t="s">
        <v>10</v>
      </c>
      <c r="P947" s="1" t="s">
        <v>3480</v>
      </c>
      <c r="Q947" s="1" t="s">
        <v>33</v>
      </c>
      <c r="R947" s="2" t="s">
        <v>5935</v>
      </c>
      <c r="S947" s="1" t="s">
        <v>6243</v>
      </c>
      <c r="T947" s="1">
        <v>2727</v>
      </c>
      <c r="U947" s="1">
        <v>2727</v>
      </c>
      <c r="V947" s="1">
        <v>2727</v>
      </c>
    </row>
    <row r="948" spans="1:56" x14ac:dyDescent="0.2">
      <c r="A948" s="1" t="s">
        <v>594</v>
      </c>
      <c r="B948" s="1">
        <v>18985386</v>
      </c>
      <c r="C948" s="1" t="s">
        <v>7420</v>
      </c>
      <c r="E948" s="21">
        <v>93</v>
      </c>
      <c r="G948" s="1" t="s">
        <v>19</v>
      </c>
      <c r="H948" s="1" t="s">
        <v>7195</v>
      </c>
      <c r="I948" s="5">
        <v>39758</v>
      </c>
      <c r="J948" s="18" t="s">
        <v>11</v>
      </c>
      <c r="K948" s="1" t="s">
        <v>595</v>
      </c>
      <c r="L948" s="1" t="s">
        <v>596</v>
      </c>
      <c r="M948" s="5"/>
      <c r="N948" s="5" t="s">
        <v>10</v>
      </c>
      <c r="O948" s="5" t="s">
        <v>10</v>
      </c>
      <c r="P948" s="1" t="s">
        <v>3492</v>
      </c>
      <c r="Q948" s="1" t="s">
        <v>3493</v>
      </c>
      <c r="R948" s="2" t="s">
        <v>5816</v>
      </c>
      <c r="S948" s="1" t="s">
        <v>6243</v>
      </c>
      <c r="T948" s="1">
        <v>2246</v>
      </c>
      <c r="U948" s="1">
        <v>1724</v>
      </c>
      <c r="V948" s="1">
        <v>1724</v>
      </c>
      <c r="AH948" s="1">
        <v>522</v>
      </c>
      <c r="AI948" s="1">
        <v>522</v>
      </c>
    </row>
    <row r="949" spans="1:56" x14ac:dyDescent="0.2">
      <c r="A949" s="1" t="s">
        <v>307</v>
      </c>
      <c r="B949" s="1">
        <v>18987618</v>
      </c>
      <c r="C949" s="1" t="s">
        <v>7420</v>
      </c>
      <c r="E949" s="21">
        <v>27</v>
      </c>
      <c r="G949" s="1" t="s">
        <v>193</v>
      </c>
      <c r="H949" s="1" t="s">
        <v>7142</v>
      </c>
      <c r="I949" s="5">
        <v>39757</v>
      </c>
      <c r="J949" s="18" t="s">
        <v>11</v>
      </c>
      <c r="K949" s="1" t="s">
        <v>592</v>
      </c>
      <c r="L949" s="1" t="s">
        <v>593</v>
      </c>
      <c r="M949" s="5"/>
      <c r="N949" s="5" t="s">
        <v>10</v>
      </c>
      <c r="O949" s="5" t="s">
        <v>10</v>
      </c>
      <c r="P949" s="1" t="s">
        <v>3465</v>
      </c>
      <c r="Q949" s="1" t="s">
        <v>3466</v>
      </c>
      <c r="R949" s="2" t="s">
        <v>5823</v>
      </c>
      <c r="S949" s="1" t="s">
        <v>6243</v>
      </c>
      <c r="T949" s="1">
        <v>2603</v>
      </c>
      <c r="U949" s="1">
        <v>1890</v>
      </c>
      <c r="V949" s="1">
        <v>1890</v>
      </c>
      <c r="AH949" s="1">
        <v>713</v>
      </c>
      <c r="AI949" s="1">
        <v>713</v>
      </c>
    </row>
    <row r="950" spans="1:56" x14ac:dyDescent="0.2">
      <c r="A950" s="1" t="s">
        <v>548</v>
      </c>
      <c r="B950" s="1">
        <v>18991354</v>
      </c>
      <c r="C950" s="1" t="s">
        <v>7420</v>
      </c>
      <c r="E950" s="21">
        <v>285</v>
      </c>
      <c r="G950" s="1" t="s">
        <v>50</v>
      </c>
      <c r="H950" s="1" t="s">
        <v>7170</v>
      </c>
      <c r="I950" s="5">
        <v>39722</v>
      </c>
      <c r="J950" s="18" t="s">
        <v>11</v>
      </c>
      <c r="K950" s="1" t="s">
        <v>549</v>
      </c>
      <c r="L950" s="1" t="s">
        <v>550</v>
      </c>
      <c r="M950" s="5"/>
      <c r="N950" s="5" t="s">
        <v>10</v>
      </c>
      <c r="O950" s="5" t="s">
        <v>10</v>
      </c>
      <c r="P950" s="1" t="s">
        <v>3761</v>
      </c>
      <c r="Q950" s="1" t="s">
        <v>4871</v>
      </c>
      <c r="R950" s="2" t="s">
        <v>5709</v>
      </c>
      <c r="S950" s="1" t="s">
        <v>6243</v>
      </c>
      <c r="T950" s="1">
        <v>36395</v>
      </c>
      <c r="U950" s="1">
        <v>12476</v>
      </c>
      <c r="V950" s="1">
        <v>12476</v>
      </c>
      <c r="AH950" s="1">
        <v>23919</v>
      </c>
      <c r="AI950" s="1">
        <v>23919</v>
      </c>
    </row>
    <row r="951" spans="1:56" s="3" customFormat="1" x14ac:dyDescent="0.2">
      <c r="A951" s="1" t="s">
        <v>599</v>
      </c>
      <c r="B951" s="1">
        <v>18997785</v>
      </c>
      <c r="C951" s="1" t="s">
        <v>7420</v>
      </c>
      <c r="D951" s="1" t="s">
        <v>7411</v>
      </c>
      <c r="E951" s="21">
        <v>1</v>
      </c>
      <c r="F951" s="17"/>
      <c r="G951" s="1" t="s">
        <v>175</v>
      </c>
      <c r="H951" s="1" t="s">
        <v>7402</v>
      </c>
      <c r="I951" s="5">
        <v>39761</v>
      </c>
      <c r="J951" s="18" t="s">
        <v>11</v>
      </c>
      <c r="K951" s="1" t="s">
        <v>28</v>
      </c>
      <c r="L951" s="1" t="s">
        <v>600</v>
      </c>
      <c r="M951" s="5"/>
      <c r="N951" s="5" t="s">
        <v>10</v>
      </c>
      <c r="O951" s="5" t="s">
        <v>10</v>
      </c>
      <c r="P951" s="1" t="s">
        <v>3627</v>
      </c>
      <c r="Q951" s="1" t="s">
        <v>4146</v>
      </c>
      <c r="R951" s="2" t="s">
        <v>5887</v>
      </c>
      <c r="S951" s="1" t="s">
        <v>6243</v>
      </c>
      <c r="T951" s="1">
        <v>5804</v>
      </c>
      <c r="U951" s="1">
        <v>240</v>
      </c>
      <c r="V951" s="1">
        <v>240</v>
      </c>
      <c r="W951" s="1"/>
      <c r="X951" s="1"/>
      <c r="Y951" s="1"/>
      <c r="Z951" s="1"/>
      <c r="AA951" s="1"/>
      <c r="AB951" s="1"/>
      <c r="AC951" s="1"/>
      <c r="AD951" s="1"/>
      <c r="AE951" s="1"/>
      <c r="AF951" s="1"/>
      <c r="AG951" s="1"/>
      <c r="AH951" s="1">
        <v>5564</v>
      </c>
      <c r="AI951" s="1">
        <v>5564</v>
      </c>
      <c r="AJ951" s="1"/>
      <c r="AK951" s="1"/>
      <c r="AL951" s="1"/>
      <c r="AM951" s="1"/>
      <c r="AN951" s="1"/>
      <c r="AO951" s="1"/>
      <c r="AP951" s="1"/>
      <c r="AQ951" s="1"/>
      <c r="AR951" s="1"/>
      <c r="AS951" s="1"/>
      <c r="AT951" s="1"/>
      <c r="AU951" s="1"/>
      <c r="AV951" s="1"/>
      <c r="AW951" s="1"/>
      <c r="AX951" s="1"/>
      <c r="AY951" s="1"/>
      <c r="AZ951" s="1"/>
      <c r="BA951" s="1"/>
      <c r="BB951" s="1"/>
      <c r="BC951" s="1"/>
      <c r="BD951" s="1"/>
    </row>
    <row r="952" spans="1:56" x14ac:dyDescent="0.2">
      <c r="A952" s="1" t="s">
        <v>603</v>
      </c>
      <c r="B952" s="1">
        <v>18997786</v>
      </c>
      <c r="C952" s="1" t="s">
        <v>7420</v>
      </c>
      <c r="E952" s="21">
        <v>16</v>
      </c>
      <c r="G952" s="1" t="s">
        <v>604</v>
      </c>
      <c r="H952" s="1" t="s">
        <v>7404</v>
      </c>
      <c r="I952" s="5">
        <v>39761</v>
      </c>
      <c r="J952" s="18" t="s">
        <v>11</v>
      </c>
      <c r="K952" s="1" t="s">
        <v>28</v>
      </c>
      <c r="L952" s="1" t="s">
        <v>601</v>
      </c>
      <c r="M952" s="5"/>
      <c r="N952" s="5" t="s">
        <v>10</v>
      </c>
      <c r="O952" s="5" t="s">
        <v>10</v>
      </c>
      <c r="P952" s="1" t="s">
        <v>4644</v>
      </c>
      <c r="Q952" s="1" t="s">
        <v>602</v>
      </c>
      <c r="R952" s="2" t="s">
        <v>5703</v>
      </c>
      <c r="S952" s="1" t="s">
        <v>6244</v>
      </c>
      <c r="T952" s="1">
        <v>9027</v>
      </c>
      <c r="U952" s="1">
        <v>7856</v>
      </c>
      <c r="V952" s="1">
        <v>7856</v>
      </c>
      <c r="AH952" s="1">
        <v>1171</v>
      </c>
      <c r="AK952" s="1">
        <v>1171</v>
      </c>
    </row>
    <row r="953" spans="1:56" x14ac:dyDescent="0.2">
      <c r="A953" s="1" t="s">
        <v>2623</v>
      </c>
      <c r="B953" s="1">
        <v>19001137</v>
      </c>
      <c r="C953" s="1" t="s">
        <v>7420</v>
      </c>
      <c r="D953" s="1">
        <v>1</v>
      </c>
      <c r="E953" s="21">
        <v>0</v>
      </c>
      <c r="G953" s="1" t="s">
        <v>6992</v>
      </c>
      <c r="H953" s="1" t="s">
        <v>7297</v>
      </c>
      <c r="I953" s="5">
        <v>39762</v>
      </c>
      <c r="J953" s="18" t="s">
        <v>10</v>
      </c>
      <c r="K953" s="1" t="s">
        <v>2826</v>
      </c>
      <c r="L953" s="1" t="s">
        <v>2827</v>
      </c>
      <c r="N953" s="5" t="s">
        <v>10</v>
      </c>
      <c r="O953" s="5" t="s">
        <v>10</v>
      </c>
      <c r="P953" s="1" t="s">
        <v>3379</v>
      </c>
      <c r="Q953" s="1" t="s">
        <v>33</v>
      </c>
      <c r="R953" s="2" t="s">
        <v>5984</v>
      </c>
      <c r="S953" s="1" t="s">
        <v>6243</v>
      </c>
      <c r="T953" s="1">
        <v>23</v>
      </c>
      <c r="U953" s="1">
        <v>23</v>
      </c>
      <c r="V953" s="1">
        <v>23</v>
      </c>
    </row>
    <row r="954" spans="1:56" x14ac:dyDescent="0.2">
      <c r="A954" s="1" t="s">
        <v>597</v>
      </c>
      <c r="B954" s="1">
        <v>19009022</v>
      </c>
      <c r="C954" s="1" t="s">
        <v>7420</v>
      </c>
      <c r="D954" s="1">
        <v>1</v>
      </c>
      <c r="E954" s="21">
        <v>0</v>
      </c>
      <c r="G954" s="1" t="s">
        <v>85</v>
      </c>
      <c r="H954" s="1" t="s">
        <v>7156</v>
      </c>
      <c r="I954" s="5">
        <v>39761</v>
      </c>
      <c r="J954" s="18" t="s">
        <v>11</v>
      </c>
      <c r="K954" s="1" t="s">
        <v>474</v>
      </c>
      <c r="L954" s="1" t="s">
        <v>598</v>
      </c>
      <c r="M954" s="5"/>
      <c r="N954" s="5" t="s">
        <v>10</v>
      </c>
      <c r="O954" s="5" t="s">
        <v>10</v>
      </c>
      <c r="P954" s="1" t="s">
        <v>3784</v>
      </c>
      <c r="Q954" s="1" t="s">
        <v>6264</v>
      </c>
      <c r="R954" s="2" t="s">
        <v>5860</v>
      </c>
      <c r="S954" s="1" t="s">
        <v>6244</v>
      </c>
      <c r="T954" s="1">
        <v>4619</v>
      </c>
      <c r="U954" s="1">
        <v>480</v>
      </c>
      <c r="V954" s="1">
        <v>220</v>
      </c>
      <c r="AD954" s="1">
        <v>260</v>
      </c>
      <c r="AH954" s="1">
        <v>4139</v>
      </c>
      <c r="AR954" s="1">
        <v>4139</v>
      </c>
    </row>
    <row r="955" spans="1:56" x14ac:dyDescent="0.2">
      <c r="A955" s="1" t="s">
        <v>605</v>
      </c>
      <c r="B955" s="1">
        <v>19010793</v>
      </c>
      <c r="C955" s="1" t="s">
        <v>7420</v>
      </c>
      <c r="E955" s="21">
        <v>1375</v>
      </c>
      <c r="G955" s="1" t="s">
        <v>175</v>
      </c>
      <c r="H955" s="1" t="s">
        <v>7402</v>
      </c>
      <c r="I955" s="5">
        <v>39766</v>
      </c>
      <c r="J955" s="18" t="s">
        <v>11</v>
      </c>
      <c r="K955" s="1" t="s">
        <v>103</v>
      </c>
      <c r="L955" s="1" t="s">
        <v>606</v>
      </c>
      <c r="M955" s="5"/>
      <c r="N955" s="5" t="s">
        <v>10</v>
      </c>
      <c r="O955" s="5" t="s">
        <v>10</v>
      </c>
      <c r="P955" s="1" t="s">
        <v>3512</v>
      </c>
      <c r="Q955" s="1" t="s">
        <v>33</v>
      </c>
      <c r="R955" s="2" t="s">
        <v>5809</v>
      </c>
      <c r="S955" s="1" t="s">
        <v>6243</v>
      </c>
      <c r="T955" s="1">
        <v>1674</v>
      </c>
      <c r="U955" s="1">
        <v>1674</v>
      </c>
      <c r="V955" s="1">
        <v>1674</v>
      </c>
    </row>
    <row r="956" spans="1:56" s="3" customFormat="1" x14ac:dyDescent="0.2">
      <c r="A956" s="1" t="s">
        <v>607</v>
      </c>
      <c r="B956" s="1">
        <v>19011631</v>
      </c>
      <c r="C956" s="1" t="s">
        <v>7420</v>
      </c>
      <c r="D956" s="1"/>
      <c r="E956" s="21">
        <v>27</v>
      </c>
      <c r="F956" s="17"/>
      <c r="G956" s="1" t="s">
        <v>145</v>
      </c>
      <c r="H956" s="1" t="s">
        <v>146</v>
      </c>
      <c r="I956" s="5">
        <v>39768</v>
      </c>
      <c r="J956" s="18" t="s">
        <v>11</v>
      </c>
      <c r="K956" s="1" t="s">
        <v>28</v>
      </c>
      <c r="L956" s="1" t="s">
        <v>608</v>
      </c>
      <c r="M956" s="5"/>
      <c r="N956" s="5" t="s">
        <v>10</v>
      </c>
      <c r="O956" s="5" t="s">
        <v>10</v>
      </c>
      <c r="P956" s="1" t="s">
        <v>3773</v>
      </c>
      <c r="Q956" s="1" t="s">
        <v>4409</v>
      </c>
      <c r="R956" s="2" t="s">
        <v>5722</v>
      </c>
      <c r="S956" s="1" t="s">
        <v>6243</v>
      </c>
      <c r="T956" s="1">
        <v>13623</v>
      </c>
      <c r="U956" s="1">
        <v>3831</v>
      </c>
      <c r="V956" s="1">
        <v>3831</v>
      </c>
      <c r="W956" s="1"/>
      <c r="X956" s="1"/>
      <c r="Y956" s="1"/>
      <c r="Z956" s="1"/>
      <c r="AA956" s="1"/>
      <c r="AB956" s="1"/>
      <c r="AC956" s="1"/>
      <c r="AD956" s="1"/>
      <c r="AE956" s="1"/>
      <c r="AF956" s="1"/>
      <c r="AG956" s="1"/>
      <c r="AH956" s="1">
        <v>9792</v>
      </c>
      <c r="AI956" s="1">
        <v>9792</v>
      </c>
      <c r="AJ956" s="1"/>
      <c r="AK956" s="1"/>
      <c r="AL956" s="1"/>
      <c r="AM956" s="1"/>
      <c r="AN956" s="1"/>
      <c r="AO956" s="1"/>
      <c r="AP956" s="1"/>
      <c r="AQ956" s="1"/>
      <c r="AR956" s="1"/>
      <c r="AS956" s="1"/>
      <c r="AT956" s="1"/>
      <c r="AU956" s="1"/>
      <c r="AV956" s="1"/>
      <c r="AW956" s="1"/>
      <c r="AX956" s="1"/>
      <c r="AY956" s="1"/>
      <c r="AZ956" s="1"/>
      <c r="BA956" s="1"/>
      <c r="BB956" s="1"/>
      <c r="BC956" s="1"/>
      <c r="BD956" s="1"/>
    </row>
    <row r="957" spans="1:56" x14ac:dyDescent="0.2">
      <c r="A957" s="1" t="s">
        <v>2665</v>
      </c>
      <c r="B957" s="1">
        <v>19016617</v>
      </c>
      <c r="C957" s="1" t="s">
        <v>7420</v>
      </c>
      <c r="E957" s="21">
        <v>56</v>
      </c>
      <c r="G957" s="1" t="s">
        <v>242</v>
      </c>
      <c r="H957" s="1" t="s">
        <v>7160</v>
      </c>
      <c r="I957" s="5">
        <v>39797</v>
      </c>
      <c r="J957" s="18" t="s">
        <v>10</v>
      </c>
      <c r="K957" s="1" t="s">
        <v>1408</v>
      </c>
      <c r="L957" s="1" t="s">
        <v>2828</v>
      </c>
      <c r="N957" s="5" t="s">
        <v>10</v>
      </c>
      <c r="O957" s="5" t="s">
        <v>10</v>
      </c>
      <c r="P957" s="1" t="s">
        <v>3372</v>
      </c>
      <c r="Q957" s="1" t="s">
        <v>33</v>
      </c>
      <c r="R957" s="2" t="s">
        <v>6481</v>
      </c>
      <c r="S957" s="1" t="s">
        <v>6243</v>
      </c>
      <c r="T957" s="1">
        <v>441</v>
      </c>
      <c r="U957" s="1">
        <v>441</v>
      </c>
      <c r="V957" s="1">
        <v>441</v>
      </c>
    </row>
    <row r="958" spans="1:56" x14ac:dyDescent="0.2">
      <c r="A958" s="1" t="s">
        <v>609</v>
      </c>
      <c r="B958" s="1">
        <v>19023125</v>
      </c>
      <c r="C958" s="1" t="s">
        <v>7420</v>
      </c>
      <c r="D958" s="1">
        <v>1</v>
      </c>
      <c r="E958" s="21">
        <v>0</v>
      </c>
      <c r="G958" s="1" t="s">
        <v>74</v>
      </c>
      <c r="H958" s="1" t="s">
        <v>2545</v>
      </c>
      <c r="I958" s="5">
        <v>39772</v>
      </c>
      <c r="J958" s="18" t="s">
        <v>11</v>
      </c>
      <c r="K958" s="1" t="s">
        <v>610</v>
      </c>
      <c r="L958" s="1" t="s">
        <v>611</v>
      </c>
      <c r="M958" s="5"/>
      <c r="N958" s="5" t="s">
        <v>10</v>
      </c>
      <c r="O958" s="5" t="s">
        <v>10</v>
      </c>
      <c r="P958" s="1" t="s">
        <v>3560</v>
      </c>
      <c r="Q958" s="1" t="s">
        <v>33</v>
      </c>
      <c r="R958" s="2" t="s">
        <v>4153</v>
      </c>
      <c r="S958" s="1" t="s">
        <v>6389</v>
      </c>
      <c r="T958" s="1">
        <v>138</v>
      </c>
      <c r="U958" s="1">
        <v>138</v>
      </c>
      <c r="V958" s="1">
        <v>109</v>
      </c>
      <c r="AE958" s="1">
        <v>29</v>
      </c>
    </row>
    <row r="959" spans="1:56" x14ac:dyDescent="0.2">
      <c r="A959" s="1" t="s">
        <v>612</v>
      </c>
      <c r="B959" s="1">
        <v>19030899</v>
      </c>
      <c r="C959" s="1" t="s">
        <v>7420</v>
      </c>
      <c r="E959" s="21">
        <v>17</v>
      </c>
      <c r="G959" s="1" t="s">
        <v>197</v>
      </c>
      <c r="H959" s="1" t="s">
        <v>7270</v>
      </c>
      <c r="I959" s="5">
        <v>39775</v>
      </c>
      <c r="J959" s="18" t="s">
        <v>11</v>
      </c>
      <c r="K959" s="1" t="s">
        <v>595</v>
      </c>
      <c r="L959" s="1" t="s">
        <v>613</v>
      </c>
      <c r="M959" s="5"/>
      <c r="N959" s="5" t="s">
        <v>10</v>
      </c>
      <c r="O959" s="5" t="s">
        <v>10</v>
      </c>
      <c r="P959" s="1" t="s">
        <v>614</v>
      </c>
      <c r="Q959" s="1" t="s">
        <v>4258</v>
      </c>
      <c r="R959" s="2" t="s">
        <v>4064</v>
      </c>
      <c r="S959" s="1" t="s">
        <v>6242</v>
      </c>
      <c r="T959" s="1">
        <v>3571</v>
      </c>
      <c r="U959" s="1">
        <v>618</v>
      </c>
      <c r="X959" s="1">
        <v>618</v>
      </c>
      <c r="AH959" s="1">
        <v>2953</v>
      </c>
      <c r="AK959" s="1">
        <v>2953</v>
      </c>
    </row>
    <row r="960" spans="1:56" x14ac:dyDescent="0.2">
      <c r="A960" s="1" t="s">
        <v>612</v>
      </c>
      <c r="B960" s="1">
        <v>19039035</v>
      </c>
      <c r="C960" s="1" t="s">
        <v>7420</v>
      </c>
      <c r="E960" s="21">
        <v>38</v>
      </c>
      <c r="G960" s="1" t="s">
        <v>197</v>
      </c>
      <c r="H960" s="1" t="s">
        <v>7270</v>
      </c>
      <c r="I960" s="5">
        <v>39779</v>
      </c>
      <c r="J960" s="18" t="s">
        <v>10</v>
      </c>
      <c r="K960" s="1" t="s">
        <v>103</v>
      </c>
      <c r="L960" s="1" t="s">
        <v>2829</v>
      </c>
      <c r="M960" s="5"/>
      <c r="N960" s="5" t="s">
        <v>10</v>
      </c>
      <c r="O960" s="5" t="s">
        <v>10</v>
      </c>
      <c r="P960" s="1" t="s">
        <v>5044</v>
      </c>
      <c r="Q960" s="1" t="s">
        <v>6166</v>
      </c>
      <c r="R960" s="2" t="s">
        <v>4865</v>
      </c>
      <c r="S960" s="1" t="s">
        <v>6244</v>
      </c>
      <c r="T960" s="1">
        <v>7850</v>
      </c>
      <c r="U960" s="1">
        <v>1000</v>
      </c>
      <c r="V960" s="1">
        <v>1000</v>
      </c>
      <c r="AH960" s="1">
        <v>6850</v>
      </c>
      <c r="AI960" s="1">
        <v>3278</v>
      </c>
      <c r="AK960" s="1">
        <v>3572</v>
      </c>
    </row>
    <row r="961" spans="1:56" x14ac:dyDescent="0.2">
      <c r="A961" s="1" t="s">
        <v>617</v>
      </c>
      <c r="B961" s="1">
        <v>19043545</v>
      </c>
      <c r="C961" s="1" t="s">
        <v>7420</v>
      </c>
      <c r="E961" s="21">
        <v>33066</v>
      </c>
      <c r="F961" s="17">
        <v>1</v>
      </c>
      <c r="G961" s="1" t="s">
        <v>6760</v>
      </c>
      <c r="H961" s="1" t="s">
        <v>7295</v>
      </c>
      <c r="I961" s="5">
        <v>39780</v>
      </c>
      <c r="J961" s="18" t="s">
        <v>11</v>
      </c>
      <c r="K961" s="1" t="s">
        <v>65</v>
      </c>
      <c r="L961" s="1" t="s">
        <v>618</v>
      </c>
      <c r="M961" s="5"/>
      <c r="N961" s="5" t="s">
        <v>11</v>
      </c>
      <c r="O961" s="5" t="s">
        <v>11</v>
      </c>
      <c r="P961" s="1" t="s">
        <v>3818</v>
      </c>
      <c r="Q961" s="1" t="s">
        <v>33</v>
      </c>
      <c r="R961" s="2" t="s">
        <v>5870</v>
      </c>
      <c r="S961" s="1" t="s">
        <v>6243</v>
      </c>
      <c r="T961" s="1">
        <v>284</v>
      </c>
      <c r="U961" s="1">
        <v>284</v>
      </c>
      <c r="V961" s="1">
        <v>284</v>
      </c>
    </row>
    <row r="962" spans="1:56" x14ac:dyDescent="0.2">
      <c r="A962" s="1" t="s">
        <v>619</v>
      </c>
      <c r="B962" s="1">
        <v>19047183</v>
      </c>
      <c r="C962" s="1" t="s">
        <v>7420</v>
      </c>
      <c r="E962" s="21">
        <v>255</v>
      </c>
      <c r="G962" s="1" t="s">
        <v>506</v>
      </c>
      <c r="H962" s="1" t="s">
        <v>1273</v>
      </c>
      <c r="I962" s="5">
        <v>39783</v>
      </c>
      <c r="J962" s="18" t="s">
        <v>11</v>
      </c>
      <c r="K962" s="1" t="s">
        <v>103</v>
      </c>
      <c r="L962" s="1" t="s">
        <v>620</v>
      </c>
      <c r="M962" s="5" t="s">
        <v>3498</v>
      </c>
      <c r="N962" s="5" t="s">
        <v>10</v>
      </c>
      <c r="O962" s="5" t="s">
        <v>10</v>
      </c>
      <c r="P962" s="1" t="s">
        <v>3499</v>
      </c>
      <c r="Q962" s="1" t="s">
        <v>3500</v>
      </c>
      <c r="R962" s="2" t="s">
        <v>4635</v>
      </c>
      <c r="S962" s="1" t="s">
        <v>6243</v>
      </c>
      <c r="T962" s="1">
        <v>1822</v>
      </c>
      <c r="U962" s="1">
        <v>1692</v>
      </c>
      <c r="V962" s="1">
        <v>1692</v>
      </c>
      <c r="AH962" s="1">
        <v>130</v>
      </c>
      <c r="AI962" s="1">
        <v>130</v>
      </c>
    </row>
    <row r="963" spans="1:56" x14ac:dyDescent="0.2">
      <c r="A963" s="11" t="s">
        <v>1220</v>
      </c>
      <c r="B963" s="11">
        <v>19052777</v>
      </c>
      <c r="C963" s="1" t="s">
        <v>7420</v>
      </c>
      <c r="E963" s="21">
        <v>2806</v>
      </c>
      <c r="F963" s="17">
        <v>1</v>
      </c>
      <c r="G963" s="1" t="s">
        <v>6829</v>
      </c>
      <c r="H963" s="1" t="s">
        <v>7347</v>
      </c>
      <c r="I963" s="13">
        <v>39786</v>
      </c>
      <c r="J963" s="18" t="s">
        <v>10</v>
      </c>
      <c r="K963" s="15" t="s">
        <v>595</v>
      </c>
      <c r="L963" s="15" t="s">
        <v>6485</v>
      </c>
      <c r="M963" s="14"/>
      <c r="N963" s="5" t="s">
        <v>10</v>
      </c>
      <c r="O963" s="5" t="s">
        <v>10</v>
      </c>
      <c r="P963" s="11" t="s">
        <v>3349</v>
      </c>
      <c r="Q963" s="1" t="s">
        <v>33</v>
      </c>
      <c r="R963" s="11" t="s">
        <v>3350</v>
      </c>
      <c r="S963" s="1" t="s">
        <v>6244</v>
      </c>
      <c r="T963" s="1">
        <v>176</v>
      </c>
      <c r="U963" s="1">
        <v>176</v>
      </c>
      <c r="V963" s="1">
        <v>87</v>
      </c>
      <c r="W963" s="1">
        <v>89</v>
      </c>
    </row>
    <row r="964" spans="1:56" x14ac:dyDescent="0.2">
      <c r="A964" s="1" t="s">
        <v>623</v>
      </c>
      <c r="B964" s="1">
        <v>19056611</v>
      </c>
      <c r="C964" s="1" t="s">
        <v>7420</v>
      </c>
      <c r="E964" s="21">
        <v>68</v>
      </c>
      <c r="G964" s="1" t="s">
        <v>61</v>
      </c>
      <c r="H964" s="1" t="s">
        <v>7396</v>
      </c>
      <c r="I964" s="5">
        <v>39785</v>
      </c>
      <c r="J964" s="18" t="s">
        <v>11</v>
      </c>
      <c r="K964" s="1" t="s">
        <v>90</v>
      </c>
      <c r="L964" s="1" t="s">
        <v>624</v>
      </c>
      <c r="M964" s="5"/>
      <c r="N964" s="5" t="s">
        <v>10</v>
      </c>
      <c r="O964" s="5" t="s">
        <v>10</v>
      </c>
      <c r="P964" s="1" t="s">
        <v>3775</v>
      </c>
      <c r="Q964" s="1" t="s">
        <v>4527</v>
      </c>
      <c r="R964" s="2" t="s">
        <v>4301</v>
      </c>
      <c r="S964" s="1" t="s">
        <v>6243</v>
      </c>
      <c r="T964" s="1">
        <v>13965</v>
      </c>
      <c r="U964" s="1">
        <v>4862</v>
      </c>
      <c r="V964" s="1">
        <v>4862</v>
      </c>
      <c r="AH964" s="1">
        <v>9103</v>
      </c>
      <c r="AI964" s="1">
        <v>9103</v>
      </c>
    </row>
    <row r="965" spans="1:56" x14ac:dyDescent="0.2">
      <c r="A965" s="1" t="s">
        <v>239</v>
      </c>
      <c r="B965" s="1">
        <v>19060906</v>
      </c>
      <c r="C965" s="1" t="s">
        <v>7420</v>
      </c>
      <c r="E965" s="21">
        <v>429710</v>
      </c>
      <c r="G965" s="1" t="s">
        <v>242</v>
      </c>
      <c r="H965" s="1" t="s">
        <v>7160</v>
      </c>
      <c r="I965" s="5">
        <v>39789</v>
      </c>
      <c r="J965" s="18" t="s">
        <v>11</v>
      </c>
      <c r="K965" s="1" t="s">
        <v>28</v>
      </c>
      <c r="L965" s="1" t="s">
        <v>632</v>
      </c>
      <c r="M965" s="5"/>
      <c r="N965" s="5" t="s">
        <v>10</v>
      </c>
      <c r="O965" s="5" t="s">
        <v>10</v>
      </c>
      <c r="P965" s="1" t="s">
        <v>3779</v>
      </c>
      <c r="Q965" s="1" t="s">
        <v>4954</v>
      </c>
      <c r="R965" s="2" t="s">
        <v>6001</v>
      </c>
      <c r="S965" s="1" t="s">
        <v>6243</v>
      </c>
      <c r="T965" s="1">
        <v>40463</v>
      </c>
      <c r="U965" s="1">
        <v>19840</v>
      </c>
      <c r="V965" s="1">
        <v>19840</v>
      </c>
      <c r="AH965" s="1">
        <v>20623</v>
      </c>
      <c r="AI965" s="1">
        <v>20623</v>
      </c>
    </row>
    <row r="966" spans="1:56" s="3" customFormat="1" x14ac:dyDescent="0.2">
      <c r="A966" s="1" t="s">
        <v>621</v>
      </c>
      <c r="B966" s="1">
        <v>19060907</v>
      </c>
      <c r="C966" s="1" t="s">
        <v>7420</v>
      </c>
      <c r="D966" s="1"/>
      <c r="E966" s="21">
        <v>64</v>
      </c>
      <c r="F966" s="17"/>
      <c r="G966" s="1" t="s">
        <v>453</v>
      </c>
      <c r="H966" s="1" t="s">
        <v>7381</v>
      </c>
      <c r="I966" s="5">
        <v>39783</v>
      </c>
      <c r="J966" s="18" t="s">
        <v>11</v>
      </c>
      <c r="K966" s="1" t="s">
        <v>28</v>
      </c>
      <c r="L966" s="1" t="s">
        <v>622</v>
      </c>
      <c r="M966" s="5"/>
      <c r="N966" s="5" t="s">
        <v>10</v>
      </c>
      <c r="O966" s="5" t="s">
        <v>10</v>
      </c>
      <c r="P966" s="1" t="s">
        <v>3683</v>
      </c>
      <c r="Q966" s="1" t="s">
        <v>33</v>
      </c>
      <c r="R966" s="2" t="s">
        <v>4703</v>
      </c>
      <c r="S966" s="1" t="s">
        <v>6243</v>
      </c>
      <c r="T966" s="1">
        <v>35812</v>
      </c>
      <c r="U966" s="1">
        <v>35812</v>
      </c>
      <c r="V966" s="1">
        <v>35812</v>
      </c>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row>
    <row r="967" spans="1:56" x14ac:dyDescent="0.2">
      <c r="A967" s="1" t="s">
        <v>459</v>
      </c>
      <c r="B967" s="1">
        <v>19060909</v>
      </c>
      <c r="C967" s="1" t="s">
        <v>7420</v>
      </c>
      <c r="E967" s="21">
        <v>5</v>
      </c>
      <c r="G967" s="1" t="s">
        <v>6995</v>
      </c>
      <c r="H967" s="1" t="s">
        <v>7382</v>
      </c>
      <c r="I967" s="5">
        <v>39789</v>
      </c>
      <c r="J967" s="18" t="s">
        <v>11</v>
      </c>
      <c r="K967" s="1" t="s">
        <v>28</v>
      </c>
      <c r="L967" s="1" t="s">
        <v>628</v>
      </c>
      <c r="M967" s="5"/>
      <c r="N967" s="5" t="s">
        <v>10</v>
      </c>
      <c r="O967" s="5" t="s">
        <v>10</v>
      </c>
      <c r="P967" s="1" t="s">
        <v>3782</v>
      </c>
      <c r="Q967" s="1" t="s">
        <v>4873</v>
      </c>
      <c r="R967" s="2" t="s">
        <v>4790</v>
      </c>
      <c r="S967" s="1" t="s">
        <v>6243</v>
      </c>
      <c r="T967" s="1">
        <v>17615</v>
      </c>
      <c r="U967" s="1">
        <v>2151</v>
      </c>
      <c r="V967" s="1">
        <v>2151</v>
      </c>
      <c r="AH967" s="1">
        <v>15464</v>
      </c>
      <c r="AI967" s="1">
        <v>15464</v>
      </c>
    </row>
    <row r="968" spans="1:56" x14ac:dyDescent="0.2">
      <c r="A968" s="1" t="s">
        <v>629</v>
      </c>
      <c r="B968" s="1">
        <v>19060910</v>
      </c>
      <c r="C968" s="1" t="s">
        <v>7420</v>
      </c>
      <c r="E968" s="21">
        <v>68</v>
      </c>
      <c r="G968" s="1" t="s">
        <v>242</v>
      </c>
      <c r="H968" s="1" t="s">
        <v>7160</v>
      </c>
      <c r="I968" s="5">
        <v>39789</v>
      </c>
      <c r="J968" s="18" t="s">
        <v>11</v>
      </c>
      <c r="K968" s="1" t="s">
        <v>28</v>
      </c>
      <c r="L968" s="1" t="s">
        <v>630</v>
      </c>
      <c r="M968" s="5"/>
      <c r="N968" s="5" t="s">
        <v>10</v>
      </c>
      <c r="O968" s="5" t="s">
        <v>10</v>
      </c>
      <c r="P968" s="1" t="s">
        <v>3609</v>
      </c>
      <c r="Q968" s="1" t="s">
        <v>33</v>
      </c>
      <c r="R968" s="2" t="s">
        <v>4882</v>
      </c>
      <c r="S968" s="1" t="s">
        <v>6243</v>
      </c>
      <c r="T968" s="1">
        <v>4763</v>
      </c>
      <c r="U968" s="1">
        <v>4763</v>
      </c>
      <c r="V968" s="1">
        <v>4763</v>
      </c>
    </row>
    <row r="969" spans="1:56" x14ac:dyDescent="0.2">
      <c r="A969" s="1" t="s">
        <v>599</v>
      </c>
      <c r="B969" s="1">
        <v>19060911</v>
      </c>
      <c r="C969" s="1" t="s">
        <v>7420</v>
      </c>
      <c r="E969" s="21">
        <v>201</v>
      </c>
      <c r="G969" s="1" t="s">
        <v>242</v>
      </c>
      <c r="H969" s="1" t="s">
        <v>7160</v>
      </c>
      <c r="I969" s="5">
        <v>39789</v>
      </c>
      <c r="J969" s="18" t="s">
        <v>11</v>
      </c>
      <c r="K969" s="1" t="s">
        <v>28</v>
      </c>
      <c r="L969" s="1" t="s">
        <v>631</v>
      </c>
      <c r="M969" s="5"/>
      <c r="N969" s="5" t="s">
        <v>10</v>
      </c>
      <c r="O969" s="5" t="s">
        <v>10</v>
      </c>
      <c r="P969" s="1" t="s">
        <v>3788</v>
      </c>
      <c r="Q969" s="1" t="s">
        <v>33</v>
      </c>
      <c r="R969" s="2" t="s">
        <v>6054</v>
      </c>
      <c r="S969" s="1" t="s">
        <v>6243</v>
      </c>
      <c r="T969" s="1">
        <v>22562</v>
      </c>
      <c r="U969" s="1">
        <v>22562</v>
      </c>
      <c r="V969" s="1">
        <v>22562</v>
      </c>
    </row>
    <row r="970" spans="1:56" x14ac:dyDescent="0.2">
      <c r="A970" s="1" t="s">
        <v>380</v>
      </c>
      <c r="B970" s="1">
        <v>19065144</v>
      </c>
      <c r="C970" s="1" t="s">
        <v>7420</v>
      </c>
      <c r="E970" s="21">
        <v>78</v>
      </c>
      <c r="G970" s="1" t="s">
        <v>634</v>
      </c>
      <c r="H970" s="1" t="s">
        <v>635</v>
      </c>
      <c r="I970" s="5">
        <v>39791</v>
      </c>
      <c r="J970" s="18" t="s">
        <v>11</v>
      </c>
      <c r="K970" s="1" t="s">
        <v>71</v>
      </c>
      <c r="L970" s="1" t="s">
        <v>633</v>
      </c>
      <c r="M970" s="5"/>
      <c r="N970" s="5" t="s">
        <v>10</v>
      </c>
      <c r="O970" s="5" t="s">
        <v>10</v>
      </c>
      <c r="P970" s="1" t="s">
        <v>3764</v>
      </c>
      <c r="Q970" s="1" t="s">
        <v>4624</v>
      </c>
      <c r="R970" s="2" t="s">
        <v>4526</v>
      </c>
      <c r="S970" s="1" t="s">
        <v>6243</v>
      </c>
      <c r="T970" s="1">
        <v>15512</v>
      </c>
      <c r="U970" s="1">
        <v>3540</v>
      </c>
      <c r="V970" s="1">
        <v>3540</v>
      </c>
      <c r="AH970" s="1">
        <v>11972</v>
      </c>
      <c r="AI970" s="1">
        <v>11972</v>
      </c>
    </row>
    <row r="971" spans="1:56" x14ac:dyDescent="0.2">
      <c r="A971" s="1" t="s">
        <v>642</v>
      </c>
      <c r="B971" s="1">
        <v>19074352</v>
      </c>
      <c r="C971" s="1" t="s">
        <v>7420</v>
      </c>
      <c r="E971" s="21">
        <v>214</v>
      </c>
      <c r="G971" s="1" t="s">
        <v>6996</v>
      </c>
      <c r="H971" s="1" t="s">
        <v>7257</v>
      </c>
      <c r="I971" s="5">
        <v>39799</v>
      </c>
      <c r="J971" s="18" t="s">
        <v>11</v>
      </c>
      <c r="K971" s="1" t="s">
        <v>25</v>
      </c>
      <c r="L971" s="1" t="s">
        <v>643</v>
      </c>
      <c r="M971" s="5"/>
      <c r="N971" s="5" t="s">
        <v>10</v>
      </c>
      <c r="O971" s="5" t="s">
        <v>10</v>
      </c>
      <c r="P971" s="1" t="s">
        <v>3508</v>
      </c>
      <c r="Q971" s="1" t="s">
        <v>3509</v>
      </c>
      <c r="R971" s="2" t="s">
        <v>3941</v>
      </c>
      <c r="S971" s="1" t="s">
        <v>6243</v>
      </c>
      <c r="T971" s="1">
        <v>1507</v>
      </c>
      <c r="U971" s="1">
        <v>809</v>
      </c>
      <c r="V971" s="1">
        <v>809</v>
      </c>
      <c r="AH971" s="1">
        <v>698</v>
      </c>
      <c r="AI971" s="1">
        <v>698</v>
      </c>
    </row>
    <row r="972" spans="1:56" x14ac:dyDescent="0.2">
      <c r="A972" s="1" t="s">
        <v>184</v>
      </c>
      <c r="B972" s="1">
        <v>19079260</v>
      </c>
      <c r="C972" s="1" t="s">
        <v>7420</v>
      </c>
      <c r="E972" s="21">
        <v>124</v>
      </c>
      <c r="G972" s="1" t="s">
        <v>6886</v>
      </c>
      <c r="H972" s="1" t="s">
        <v>7229</v>
      </c>
      <c r="I972" s="5">
        <v>39796</v>
      </c>
      <c r="J972" s="18" t="s">
        <v>11</v>
      </c>
      <c r="K972" s="1" t="s">
        <v>28</v>
      </c>
      <c r="L972" s="1" t="s">
        <v>639</v>
      </c>
      <c r="M972" s="5"/>
      <c r="N972" s="5" t="s">
        <v>10</v>
      </c>
      <c r="O972" s="5" t="s">
        <v>10</v>
      </c>
      <c r="P972" s="1" t="s">
        <v>3506</v>
      </c>
      <c r="Q972" s="1" t="s">
        <v>3507</v>
      </c>
      <c r="R972" s="2" t="s">
        <v>4544</v>
      </c>
      <c r="S972" s="1" t="s">
        <v>6244</v>
      </c>
      <c r="T972" s="1">
        <v>72617</v>
      </c>
      <c r="U972" s="1">
        <v>34416</v>
      </c>
      <c r="V972" s="1">
        <v>33256</v>
      </c>
      <c r="W972" s="1">
        <v>1160</v>
      </c>
      <c r="AH972" s="1">
        <v>38201</v>
      </c>
      <c r="AI972" s="1">
        <v>38201</v>
      </c>
    </row>
    <row r="973" spans="1:56" x14ac:dyDescent="0.2">
      <c r="A973" s="1" t="s">
        <v>327</v>
      </c>
      <c r="B973" s="1">
        <v>19079261</v>
      </c>
      <c r="C973" s="1" t="s">
        <v>7420</v>
      </c>
      <c r="E973" s="21">
        <v>112</v>
      </c>
      <c r="G973" s="1" t="s">
        <v>370</v>
      </c>
      <c r="H973" s="1" t="s">
        <v>7229</v>
      </c>
      <c r="I973" s="5">
        <v>39796</v>
      </c>
      <c r="J973" s="18" t="s">
        <v>11</v>
      </c>
      <c r="K973" s="1" t="s">
        <v>28</v>
      </c>
      <c r="L973" s="1" t="s">
        <v>640</v>
      </c>
      <c r="M973" s="5"/>
      <c r="N973" s="5" t="s">
        <v>10</v>
      </c>
      <c r="O973" s="5" t="s">
        <v>10</v>
      </c>
      <c r="P973" s="1" t="s">
        <v>3706</v>
      </c>
      <c r="Q973" s="1" t="s">
        <v>4879</v>
      </c>
      <c r="R973" s="2" t="s">
        <v>6050</v>
      </c>
      <c r="S973" s="1" t="s">
        <v>6243</v>
      </c>
      <c r="T973" s="1">
        <v>91469</v>
      </c>
      <c r="U973" s="1">
        <v>32387</v>
      </c>
      <c r="V973" s="1">
        <v>32387</v>
      </c>
      <c r="AH973" s="1">
        <v>59082</v>
      </c>
      <c r="AI973" s="1">
        <v>59082</v>
      </c>
    </row>
    <row r="974" spans="1:56" x14ac:dyDescent="0.2">
      <c r="A974" s="1" t="s">
        <v>414</v>
      </c>
      <c r="B974" s="1">
        <v>19079262</v>
      </c>
      <c r="C974" s="1" t="s">
        <v>7420</v>
      </c>
      <c r="E974" s="21">
        <v>439</v>
      </c>
      <c r="G974" s="1" t="s">
        <v>413</v>
      </c>
      <c r="H974" s="1" t="s">
        <v>7231</v>
      </c>
      <c r="I974" s="5">
        <v>39796</v>
      </c>
      <c r="J974" s="18" t="s">
        <v>11</v>
      </c>
      <c r="K974" s="1" t="s">
        <v>28</v>
      </c>
      <c r="L974" s="1" t="s">
        <v>641</v>
      </c>
      <c r="M974" s="5"/>
      <c r="N974" s="5" t="s">
        <v>10</v>
      </c>
      <c r="O974" s="5" t="s">
        <v>10</v>
      </c>
      <c r="P974" s="1" t="s">
        <v>3545</v>
      </c>
      <c r="Q974" s="1" t="s">
        <v>4800</v>
      </c>
      <c r="R974" s="2" t="s">
        <v>4542</v>
      </c>
      <c r="S974" s="1" t="s">
        <v>6243</v>
      </c>
      <c r="T974" s="1">
        <v>15375</v>
      </c>
      <c r="U974" s="1">
        <v>6865</v>
      </c>
      <c r="V974" s="1">
        <v>6865</v>
      </c>
      <c r="AH974" s="1">
        <v>8510</v>
      </c>
      <c r="AI974" s="1">
        <v>8510</v>
      </c>
    </row>
    <row r="975" spans="1:56" x14ac:dyDescent="0.2">
      <c r="A975" s="1" t="s">
        <v>636</v>
      </c>
      <c r="B975" s="1">
        <v>19081515</v>
      </c>
      <c r="C975" s="1" t="s">
        <v>7420</v>
      </c>
      <c r="E975" s="21">
        <v>15</v>
      </c>
      <c r="G975" s="1" t="s">
        <v>638</v>
      </c>
      <c r="H975" s="1" t="s">
        <v>6619</v>
      </c>
      <c r="I975" s="5">
        <v>39793</v>
      </c>
      <c r="J975" s="18" t="s">
        <v>11</v>
      </c>
      <c r="K975" s="1" t="s">
        <v>31</v>
      </c>
      <c r="L975" s="1" t="s">
        <v>637</v>
      </c>
      <c r="M975" s="5"/>
      <c r="N975" s="5" t="s">
        <v>10</v>
      </c>
      <c r="O975" s="5" t="s">
        <v>10</v>
      </c>
      <c r="P975" s="1" t="s">
        <v>5658</v>
      </c>
      <c r="Q975" s="1" t="s">
        <v>5659</v>
      </c>
      <c r="R975" s="2" t="s">
        <v>4783</v>
      </c>
      <c r="S975" s="1" t="s">
        <v>6243</v>
      </c>
      <c r="T975" s="1">
        <v>5147</v>
      </c>
      <c r="U975" s="1">
        <v>3200</v>
      </c>
      <c r="V975" s="1">
        <v>3200</v>
      </c>
      <c r="AH975" s="1">
        <v>1947</v>
      </c>
      <c r="AI975" s="1">
        <v>1947</v>
      </c>
    </row>
    <row r="976" spans="1:56" x14ac:dyDescent="0.2">
      <c r="A976" s="1" t="s">
        <v>644</v>
      </c>
      <c r="B976" s="1">
        <v>19084217</v>
      </c>
      <c r="C976" s="1" t="s">
        <v>7420</v>
      </c>
      <c r="E976" s="21">
        <v>120</v>
      </c>
      <c r="G976" s="1" t="s">
        <v>6716</v>
      </c>
      <c r="H976" s="1" t="s">
        <v>7211</v>
      </c>
      <c r="I976" s="5">
        <v>39799</v>
      </c>
      <c r="J976" s="18" t="s">
        <v>11</v>
      </c>
      <c r="K976" s="1" t="s">
        <v>16</v>
      </c>
      <c r="L976" s="1" t="s">
        <v>645</v>
      </c>
      <c r="M976" s="5"/>
      <c r="N976" s="5" t="s">
        <v>10</v>
      </c>
      <c r="O976" s="5" t="s">
        <v>10</v>
      </c>
      <c r="P976" s="1" t="s">
        <v>3619</v>
      </c>
      <c r="Q976" s="1" t="s">
        <v>33</v>
      </c>
      <c r="R976" s="2" t="s">
        <v>4538</v>
      </c>
      <c r="S976" s="1" t="s">
        <v>6243</v>
      </c>
      <c r="T976" s="1">
        <v>459</v>
      </c>
      <c r="U976" s="1">
        <v>459</v>
      </c>
      <c r="V976" s="1">
        <v>459</v>
      </c>
    </row>
    <row r="977" spans="1:35" x14ac:dyDescent="0.2">
      <c r="A977" s="1" t="s">
        <v>647</v>
      </c>
      <c r="B977" s="1">
        <v>19096518</v>
      </c>
      <c r="C977" s="1" t="s">
        <v>7420</v>
      </c>
      <c r="E977" s="21">
        <v>21</v>
      </c>
      <c r="G977" s="1" t="s">
        <v>6835</v>
      </c>
      <c r="H977" s="1" t="s">
        <v>7274</v>
      </c>
      <c r="I977" s="5">
        <v>39801</v>
      </c>
      <c r="J977" s="18" t="s">
        <v>11</v>
      </c>
      <c r="K977" s="1" t="s">
        <v>65</v>
      </c>
      <c r="L977" s="1" t="s">
        <v>646</v>
      </c>
      <c r="M977" s="5"/>
      <c r="N977" s="5" t="s">
        <v>11</v>
      </c>
      <c r="O977" s="5" t="s">
        <v>10</v>
      </c>
      <c r="P977" s="1" t="s">
        <v>6182</v>
      </c>
      <c r="Q977" s="1" t="s">
        <v>6183</v>
      </c>
      <c r="R977" s="2" t="s">
        <v>4733</v>
      </c>
      <c r="S977" s="1" t="s">
        <v>6243</v>
      </c>
      <c r="T977" s="1">
        <v>15073</v>
      </c>
      <c r="U977" s="1">
        <v>14618</v>
      </c>
      <c r="V977" s="1">
        <v>14618</v>
      </c>
      <c r="AH977" s="1">
        <v>455</v>
      </c>
      <c r="AI977" s="1">
        <v>455</v>
      </c>
    </row>
    <row r="978" spans="1:35" x14ac:dyDescent="0.2">
      <c r="A978" s="1" t="s">
        <v>648</v>
      </c>
      <c r="B978" s="1">
        <v>19107115</v>
      </c>
      <c r="C978" s="1" t="s">
        <v>7420</v>
      </c>
      <c r="E978" s="21">
        <v>550</v>
      </c>
      <c r="G978" s="1" t="s">
        <v>634</v>
      </c>
      <c r="H978" s="1" t="s">
        <v>635</v>
      </c>
      <c r="I978" s="5">
        <v>39805</v>
      </c>
      <c r="J978" s="18" t="s">
        <v>11</v>
      </c>
      <c r="K978" s="1" t="s">
        <v>71</v>
      </c>
      <c r="L978" s="1" t="s">
        <v>649</v>
      </c>
      <c r="M978" s="5"/>
      <c r="N978" s="5" t="s">
        <v>10</v>
      </c>
      <c r="O978" s="5" t="s">
        <v>10</v>
      </c>
      <c r="P978" s="1" t="s">
        <v>6211</v>
      </c>
      <c r="Q978" s="1" t="s">
        <v>33</v>
      </c>
      <c r="R978" s="2" t="s">
        <v>6052</v>
      </c>
      <c r="S978" s="1" t="s">
        <v>6243</v>
      </c>
      <c r="T978" s="1">
        <v>3141</v>
      </c>
      <c r="U978" s="1">
        <v>3141</v>
      </c>
      <c r="V978" s="1">
        <v>3141</v>
      </c>
    </row>
    <row r="979" spans="1:35" x14ac:dyDescent="0.2">
      <c r="A979" s="1" t="s">
        <v>652</v>
      </c>
      <c r="B979" s="1">
        <v>19110211</v>
      </c>
      <c r="C979" s="1" t="s">
        <v>7420</v>
      </c>
      <c r="E979" s="21">
        <v>15</v>
      </c>
      <c r="G979" s="1" t="s">
        <v>6752</v>
      </c>
      <c r="H979" s="1" t="s">
        <v>7218</v>
      </c>
      <c r="I979" s="5">
        <v>39806</v>
      </c>
      <c r="J979" s="18" t="s">
        <v>11</v>
      </c>
      <c r="K979" s="1" t="s">
        <v>16</v>
      </c>
      <c r="L979" s="1" t="s">
        <v>653</v>
      </c>
      <c r="M979" s="5"/>
      <c r="N979" s="5" t="s">
        <v>10</v>
      </c>
      <c r="O979" s="5" t="s">
        <v>10</v>
      </c>
      <c r="P979" s="1" t="s">
        <v>3853</v>
      </c>
      <c r="Q979" s="1" t="s">
        <v>4785</v>
      </c>
      <c r="R979" s="2" t="s">
        <v>4525</v>
      </c>
      <c r="S979" s="1" t="s">
        <v>6243</v>
      </c>
      <c r="T979" s="1">
        <v>10223</v>
      </c>
      <c r="U979" s="1">
        <v>1606</v>
      </c>
      <c r="V979" s="1">
        <v>1606</v>
      </c>
      <c r="AH979" s="1">
        <v>8617</v>
      </c>
      <c r="AI979" s="1">
        <v>8617</v>
      </c>
    </row>
    <row r="980" spans="1:35" x14ac:dyDescent="0.2">
      <c r="A980" s="1" t="s">
        <v>583</v>
      </c>
      <c r="B980" s="1">
        <v>19114657</v>
      </c>
      <c r="C980" s="1" t="s">
        <v>7420</v>
      </c>
      <c r="E980" s="21">
        <v>114</v>
      </c>
      <c r="G980" s="1" t="s">
        <v>655</v>
      </c>
      <c r="H980" s="1" t="s">
        <v>7222</v>
      </c>
      <c r="I980" s="5">
        <v>39811</v>
      </c>
      <c r="J980" s="18" t="s">
        <v>11</v>
      </c>
      <c r="K980" s="1" t="s">
        <v>210</v>
      </c>
      <c r="L980" s="1" t="s">
        <v>654</v>
      </c>
      <c r="M980" s="5"/>
      <c r="N980" s="5" t="s">
        <v>10</v>
      </c>
      <c r="O980" s="5" t="s">
        <v>10</v>
      </c>
      <c r="P980" s="1" t="s">
        <v>3579</v>
      </c>
      <c r="Q980" s="1" t="s">
        <v>4631</v>
      </c>
      <c r="R980" s="2" t="s">
        <v>4884</v>
      </c>
      <c r="S980" s="1" t="s">
        <v>6243</v>
      </c>
      <c r="T980" s="1">
        <v>7125</v>
      </c>
      <c r="U980" s="1">
        <v>542</v>
      </c>
      <c r="V980" s="1">
        <v>542</v>
      </c>
      <c r="AH980" s="1">
        <v>6583</v>
      </c>
      <c r="AI980" s="1">
        <v>6583</v>
      </c>
    </row>
    <row r="981" spans="1:35" x14ac:dyDescent="0.2">
      <c r="A981" s="1" t="s">
        <v>656</v>
      </c>
      <c r="B981" s="1">
        <v>19115949</v>
      </c>
      <c r="C981" s="1" t="s">
        <v>7420</v>
      </c>
      <c r="E981" s="21">
        <v>91</v>
      </c>
      <c r="G981" s="1" t="s">
        <v>6845</v>
      </c>
      <c r="H981" s="1" t="s">
        <v>7173</v>
      </c>
      <c r="I981" s="5">
        <v>39814</v>
      </c>
      <c r="J981" s="18" t="s">
        <v>11</v>
      </c>
      <c r="K981" s="1" t="s">
        <v>657</v>
      </c>
      <c r="L981" s="1" t="s">
        <v>658</v>
      </c>
      <c r="M981" s="5"/>
      <c r="N981" s="5" t="s">
        <v>10</v>
      </c>
      <c r="O981" s="5" t="s">
        <v>10</v>
      </c>
      <c r="P981" s="1" t="s">
        <v>3826</v>
      </c>
      <c r="Q981" s="1" t="s">
        <v>3827</v>
      </c>
      <c r="R981" s="2" t="s">
        <v>3913</v>
      </c>
      <c r="S981" s="1" t="s">
        <v>6243</v>
      </c>
      <c r="T981" s="1">
        <v>2339</v>
      </c>
      <c r="U981" s="1">
        <v>1713</v>
      </c>
      <c r="V981" s="1">
        <v>1713</v>
      </c>
      <c r="AH981" s="1">
        <v>626</v>
      </c>
      <c r="AI981" s="1">
        <v>626</v>
      </c>
    </row>
    <row r="982" spans="1:35" x14ac:dyDescent="0.2">
      <c r="A982" s="1" t="s">
        <v>659</v>
      </c>
      <c r="B982" s="1">
        <v>19116933</v>
      </c>
      <c r="C982" s="1" t="s">
        <v>7420</v>
      </c>
      <c r="E982" s="21">
        <v>18</v>
      </c>
      <c r="G982" s="1" t="s">
        <v>6855</v>
      </c>
      <c r="H982" s="1" t="s">
        <v>7337</v>
      </c>
      <c r="I982" s="5">
        <v>39814</v>
      </c>
      <c r="J982" s="18" t="s">
        <v>11</v>
      </c>
      <c r="K982" s="1" t="s">
        <v>462</v>
      </c>
      <c r="L982" s="1" t="s">
        <v>660</v>
      </c>
      <c r="M982" s="5"/>
      <c r="N982" s="5" t="s">
        <v>10</v>
      </c>
      <c r="O982" s="5" t="s">
        <v>10</v>
      </c>
      <c r="P982" s="1" t="s">
        <v>3823</v>
      </c>
      <c r="Q982" s="1" t="s">
        <v>3914</v>
      </c>
      <c r="R982" s="2" t="s">
        <v>4793</v>
      </c>
      <c r="S982" s="1" t="s">
        <v>6243</v>
      </c>
      <c r="T982" s="1">
        <v>2964</v>
      </c>
      <c r="U982" s="1">
        <v>463</v>
      </c>
      <c r="V982" s="1">
        <v>463</v>
      </c>
      <c r="AH982" s="1">
        <v>2501</v>
      </c>
      <c r="AI982" s="1">
        <v>2501</v>
      </c>
    </row>
    <row r="983" spans="1:35" x14ac:dyDescent="0.2">
      <c r="A983" s="1" t="s">
        <v>661</v>
      </c>
      <c r="B983" s="1">
        <v>19117981</v>
      </c>
      <c r="C983" s="1" t="s">
        <v>7420</v>
      </c>
      <c r="E983" s="21">
        <v>24</v>
      </c>
      <c r="G983" s="1" t="s">
        <v>664</v>
      </c>
      <c r="H983" s="1" t="s">
        <v>6690</v>
      </c>
      <c r="I983" s="5">
        <v>39814</v>
      </c>
      <c r="J983" s="18" t="s">
        <v>11</v>
      </c>
      <c r="K983" s="1" t="s">
        <v>662</v>
      </c>
      <c r="L983" s="1" t="s">
        <v>663</v>
      </c>
      <c r="M983" s="5"/>
      <c r="N983" s="5" t="s">
        <v>11</v>
      </c>
      <c r="O983" s="5" t="s">
        <v>11</v>
      </c>
      <c r="P983" s="1" t="s">
        <v>6123</v>
      </c>
      <c r="Q983" s="1" t="s">
        <v>4517</v>
      </c>
      <c r="R983" s="2" t="s">
        <v>2201</v>
      </c>
      <c r="S983" s="1" t="s">
        <v>6243</v>
      </c>
      <c r="T983" s="1">
        <v>16456</v>
      </c>
      <c r="U983" s="1">
        <v>2834</v>
      </c>
      <c r="V983" s="1">
        <v>2834</v>
      </c>
      <c r="AH983" s="1">
        <v>13622</v>
      </c>
      <c r="AI983" s="1">
        <v>13622</v>
      </c>
    </row>
    <row r="984" spans="1:35" x14ac:dyDescent="0.2">
      <c r="A984" s="1" t="s">
        <v>665</v>
      </c>
      <c r="B984" s="1">
        <v>19118814</v>
      </c>
      <c r="C984" s="1" t="s">
        <v>7420</v>
      </c>
      <c r="E984" s="21">
        <v>59</v>
      </c>
      <c r="G984" s="1" t="s">
        <v>128</v>
      </c>
      <c r="H984" s="1" t="s">
        <v>7126</v>
      </c>
      <c r="I984" s="5">
        <v>39816</v>
      </c>
      <c r="J984" s="18" t="s">
        <v>11</v>
      </c>
      <c r="K984" s="1" t="s">
        <v>16</v>
      </c>
      <c r="L984" s="1" t="s">
        <v>666</v>
      </c>
      <c r="M984" s="5"/>
      <c r="N984" s="5" t="s">
        <v>10</v>
      </c>
      <c r="O984" s="5" t="s">
        <v>10</v>
      </c>
      <c r="P984" s="1" t="s">
        <v>3599</v>
      </c>
      <c r="Q984" s="1" t="s">
        <v>3600</v>
      </c>
      <c r="R984" s="2" t="s">
        <v>667</v>
      </c>
      <c r="S984" s="1" t="s">
        <v>6243</v>
      </c>
      <c r="T984" s="1">
        <v>1446</v>
      </c>
      <c r="U984" s="1">
        <v>988</v>
      </c>
      <c r="V984" s="1">
        <v>988</v>
      </c>
      <c r="AH984" s="1">
        <v>458</v>
      </c>
      <c r="AI984" s="1">
        <v>458</v>
      </c>
    </row>
    <row r="985" spans="1:35" x14ac:dyDescent="0.2">
      <c r="A985" s="1" t="s">
        <v>668</v>
      </c>
      <c r="B985" s="1">
        <v>19122664</v>
      </c>
      <c r="C985" s="1" t="s">
        <v>7420</v>
      </c>
      <c r="E985" s="21">
        <v>99</v>
      </c>
      <c r="G985" s="1" t="s">
        <v>557</v>
      </c>
      <c r="H985" s="1" t="s">
        <v>558</v>
      </c>
      <c r="I985" s="5">
        <v>39817</v>
      </c>
      <c r="J985" s="18" t="s">
        <v>11</v>
      </c>
      <c r="K985" s="1" t="s">
        <v>28</v>
      </c>
      <c r="L985" s="1" t="s">
        <v>669</v>
      </c>
      <c r="M985" s="5"/>
      <c r="N985" s="5" t="s">
        <v>10</v>
      </c>
      <c r="O985" s="5" t="s">
        <v>10</v>
      </c>
      <c r="P985" s="1" t="s">
        <v>6265</v>
      </c>
      <c r="Q985" s="1" t="s">
        <v>5596</v>
      </c>
      <c r="R985" s="2" t="s">
        <v>4945</v>
      </c>
      <c r="S985" s="1" t="s">
        <v>6243</v>
      </c>
      <c r="T985" s="1">
        <v>6027</v>
      </c>
      <c r="U985" s="1">
        <v>3525</v>
      </c>
      <c r="V985" s="1">
        <v>3525</v>
      </c>
      <c r="AH985" s="1">
        <v>2502</v>
      </c>
      <c r="AI985" s="1">
        <v>2502</v>
      </c>
    </row>
    <row r="986" spans="1:35" x14ac:dyDescent="0.2">
      <c r="A986" s="1" t="s">
        <v>405</v>
      </c>
      <c r="B986" s="1">
        <v>19124843</v>
      </c>
      <c r="C986" s="1" t="s">
        <v>7420</v>
      </c>
      <c r="E986" s="21">
        <v>83</v>
      </c>
      <c r="G986" s="1" t="s">
        <v>6999</v>
      </c>
      <c r="H986" s="1" t="s">
        <v>7287</v>
      </c>
      <c r="I986" s="5">
        <v>39820</v>
      </c>
      <c r="J986" s="18" t="s">
        <v>11</v>
      </c>
      <c r="K986" s="1" t="s">
        <v>670</v>
      </c>
      <c r="L986" s="1" t="s">
        <v>671</v>
      </c>
      <c r="M986" s="5"/>
      <c r="N986" s="5" t="s">
        <v>10</v>
      </c>
      <c r="O986" s="5" t="s">
        <v>10</v>
      </c>
      <c r="P986" s="1" t="s">
        <v>3684</v>
      </c>
      <c r="Q986" s="1" t="s">
        <v>3920</v>
      </c>
      <c r="R986" s="2" t="s">
        <v>4957</v>
      </c>
      <c r="S986" s="1" t="s">
        <v>6243</v>
      </c>
      <c r="T986" s="1">
        <v>1411</v>
      </c>
      <c r="U986" s="1">
        <v>357</v>
      </c>
      <c r="V986" s="1">
        <v>357</v>
      </c>
      <c r="AH986" s="1">
        <v>1054</v>
      </c>
      <c r="AI986" s="1">
        <v>1054</v>
      </c>
    </row>
    <row r="987" spans="1:35" x14ac:dyDescent="0.2">
      <c r="A987" s="1" t="s">
        <v>672</v>
      </c>
      <c r="B987" s="1">
        <v>19125160</v>
      </c>
      <c r="C987" s="1" t="s">
        <v>7420</v>
      </c>
      <c r="E987" s="21">
        <v>18</v>
      </c>
      <c r="G987" s="1" t="s">
        <v>89</v>
      </c>
      <c r="H987" s="1" t="s">
        <v>7126</v>
      </c>
      <c r="I987" s="5">
        <v>39820</v>
      </c>
      <c r="J987" s="18" t="s">
        <v>11</v>
      </c>
      <c r="K987" s="1" t="s">
        <v>71</v>
      </c>
      <c r="L987" s="1" t="s">
        <v>673</v>
      </c>
      <c r="M987" s="5"/>
      <c r="N987" s="5" t="s">
        <v>10</v>
      </c>
      <c r="O987" s="5" t="s">
        <v>10</v>
      </c>
      <c r="P987" s="1" t="s">
        <v>3601</v>
      </c>
      <c r="Q987" s="1" t="s">
        <v>33</v>
      </c>
      <c r="R987" s="2" t="s">
        <v>4955</v>
      </c>
      <c r="S987" s="1" t="s">
        <v>6243</v>
      </c>
      <c r="T987" s="1">
        <v>970</v>
      </c>
      <c r="U987" s="1">
        <v>970</v>
      </c>
      <c r="V987" s="1">
        <v>970</v>
      </c>
    </row>
    <row r="988" spans="1:35" x14ac:dyDescent="0.2">
      <c r="A988" s="1" t="s">
        <v>674</v>
      </c>
      <c r="B988" s="1">
        <v>19128478</v>
      </c>
      <c r="C988" s="1" t="s">
        <v>7420</v>
      </c>
      <c r="E988" s="21">
        <v>2384</v>
      </c>
      <c r="F988" s="17">
        <v>1</v>
      </c>
      <c r="G988" s="1" t="s">
        <v>675</v>
      </c>
      <c r="H988" s="1" t="s">
        <v>7350</v>
      </c>
      <c r="I988" s="5">
        <v>39820</v>
      </c>
      <c r="J988" s="18" t="s">
        <v>10</v>
      </c>
      <c r="K988" s="1" t="s">
        <v>538</v>
      </c>
      <c r="L988" s="1" t="s">
        <v>2830</v>
      </c>
      <c r="M988" s="5"/>
      <c r="N988" s="5" t="s">
        <v>10</v>
      </c>
      <c r="O988" s="5" t="s">
        <v>10</v>
      </c>
      <c r="P988" s="2" t="s">
        <v>5111</v>
      </c>
      <c r="Q988" s="1" t="s">
        <v>3337</v>
      </c>
      <c r="R988" s="10" t="s">
        <v>5678</v>
      </c>
      <c r="S988" s="1" t="s">
        <v>6243</v>
      </c>
      <c r="T988" s="1">
        <v>200</v>
      </c>
      <c r="U988" s="1">
        <v>110</v>
      </c>
      <c r="V988" s="1">
        <v>110</v>
      </c>
      <c r="AH988" s="1">
        <v>90</v>
      </c>
      <c r="AI988" s="1">
        <v>90</v>
      </c>
    </row>
    <row r="989" spans="1:35" x14ac:dyDescent="0.2">
      <c r="A989" s="1" t="s">
        <v>676</v>
      </c>
      <c r="B989" s="1">
        <v>19132087</v>
      </c>
      <c r="C989" s="1" t="s">
        <v>7420</v>
      </c>
      <c r="E989" s="21">
        <v>83</v>
      </c>
      <c r="G989" s="1" t="s">
        <v>678</v>
      </c>
      <c r="H989" s="1" t="s">
        <v>7088</v>
      </c>
      <c r="I989" s="5">
        <v>39822</v>
      </c>
      <c r="J989" s="18" t="s">
        <v>11</v>
      </c>
      <c r="K989" s="1" t="s">
        <v>65</v>
      </c>
      <c r="L989" s="1" t="s">
        <v>677</v>
      </c>
      <c r="M989" s="5"/>
      <c r="N989" s="5" t="s">
        <v>10</v>
      </c>
      <c r="O989" s="5" t="s">
        <v>10</v>
      </c>
      <c r="P989" s="1" t="s">
        <v>6140</v>
      </c>
      <c r="Q989" s="1" t="s">
        <v>3885</v>
      </c>
      <c r="R989" s="2" t="s">
        <v>4292</v>
      </c>
      <c r="S989" s="1" t="s">
        <v>6243</v>
      </c>
      <c r="T989" s="1">
        <v>2144</v>
      </c>
      <c r="U989" s="1">
        <v>241</v>
      </c>
      <c r="V989" s="1">
        <v>241</v>
      </c>
      <c r="AH989" s="1">
        <v>1903</v>
      </c>
      <c r="AI989" s="1">
        <v>1903</v>
      </c>
    </row>
    <row r="990" spans="1:35" x14ac:dyDescent="0.2">
      <c r="A990" s="1" t="s">
        <v>679</v>
      </c>
      <c r="B990" s="1">
        <v>19136949</v>
      </c>
      <c r="C990" s="1" t="s">
        <v>7420</v>
      </c>
      <c r="E990" s="21">
        <v>41</v>
      </c>
      <c r="G990" s="1" t="s">
        <v>128</v>
      </c>
      <c r="H990" s="1" t="s">
        <v>7126</v>
      </c>
      <c r="I990" s="5">
        <v>39824</v>
      </c>
      <c r="J990" s="18" t="s">
        <v>11</v>
      </c>
      <c r="K990" s="1" t="s">
        <v>28</v>
      </c>
      <c r="L990" s="1" t="s">
        <v>680</v>
      </c>
      <c r="M990" s="5"/>
      <c r="N990" s="5" t="s">
        <v>10</v>
      </c>
      <c r="O990" s="5" t="s">
        <v>10</v>
      </c>
      <c r="P990" s="1" t="s">
        <v>3501</v>
      </c>
      <c r="Q990" s="1" t="s">
        <v>3942</v>
      </c>
      <c r="R990" s="2" t="s">
        <v>4317</v>
      </c>
      <c r="S990" s="1" t="s">
        <v>6243</v>
      </c>
      <c r="T990" s="1">
        <v>4855</v>
      </c>
      <c r="U990" s="1">
        <v>2099</v>
      </c>
      <c r="V990" s="1">
        <v>2099</v>
      </c>
      <c r="AH990" s="1">
        <v>2756</v>
      </c>
      <c r="AI990" s="1">
        <v>2756</v>
      </c>
    </row>
    <row r="991" spans="1:35" x14ac:dyDescent="0.2">
      <c r="A991" s="1" t="s">
        <v>681</v>
      </c>
      <c r="B991" s="1">
        <v>19148276</v>
      </c>
      <c r="C991" s="1" t="s">
        <v>7420</v>
      </c>
      <c r="E991" s="21">
        <v>71</v>
      </c>
      <c r="G991" s="1" t="s">
        <v>6908</v>
      </c>
      <c r="H991" s="1" t="s">
        <v>7202</v>
      </c>
      <c r="I991" s="5">
        <v>39829</v>
      </c>
      <c r="J991" s="18" t="s">
        <v>11</v>
      </c>
      <c r="K991" s="1" t="s">
        <v>65</v>
      </c>
      <c r="L991" s="1" t="s">
        <v>682</v>
      </c>
      <c r="M991" s="5"/>
      <c r="N991" s="5" t="s">
        <v>10</v>
      </c>
      <c r="O991" s="5" t="s">
        <v>10</v>
      </c>
      <c r="P991" s="1" t="s">
        <v>3736</v>
      </c>
      <c r="Q991" s="1" t="s">
        <v>6266</v>
      </c>
      <c r="R991" s="2" t="s">
        <v>4516</v>
      </c>
      <c r="S991" s="1" t="s">
        <v>6243</v>
      </c>
      <c r="T991" s="1">
        <v>2286</v>
      </c>
      <c r="U991" s="1">
        <v>1210</v>
      </c>
      <c r="V991" s="1">
        <v>1210</v>
      </c>
      <c r="AH991" s="1">
        <v>1076</v>
      </c>
      <c r="AI991" s="1">
        <v>1076</v>
      </c>
    </row>
    <row r="992" spans="1:35" x14ac:dyDescent="0.2">
      <c r="A992" s="1" t="s">
        <v>683</v>
      </c>
      <c r="B992" s="1">
        <v>19151714</v>
      </c>
      <c r="C992" s="1" t="s">
        <v>7420</v>
      </c>
      <c r="E992" s="21">
        <v>79</v>
      </c>
      <c r="G992" s="1" t="s">
        <v>172</v>
      </c>
      <c r="H992" s="1" t="s">
        <v>7229</v>
      </c>
      <c r="I992" s="5">
        <v>39831</v>
      </c>
      <c r="J992" s="18" t="s">
        <v>11</v>
      </c>
      <c r="K992" s="1" t="s">
        <v>28</v>
      </c>
      <c r="L992" s="1" t="s">
        <v>684</v>
      </c>
      <c r="M992" s="5"/>
      <c r="N992" s="5" t="s">
        <v>10</v>
      </c>
      <c r="O992" s="5" t="s">
        <v>10</v>
      </c>
      <c r="P992" s="1" t="s">
        <v>3539</v>
      </c>
      <c r="Q992" s="1" t="s">
        <v>4543</v>
      </c>
      <c r="R992" s="2" t="s">
        <v>4790</v>
      </c>
      <c r="S992" s="1" t="s">
        <v>6243</v>
      </c>
      <c r="T992" s="1">
        <v>16982</v>
      </c>
      <c r="U992" s="1">
        <v>2796</v>
      </c>
      <c r="V992" s="1">
        <v>2796</v>
      </c>
      <c r="AH992" s="1">
        <v>14186</v>
      </c>
      <c r="AI992" s="1">
        <v>14186</v>
      </c>
    </row>
    <row r="993" spans="1:37" x14ac:dyDescent="0.2">
      <c r="A993" s="1" t="s">
        <v>685</v>
      </c>
      <c r="B993" s="1">
        <v>19165155</v>
      </c>
      <c r="C993" s="1" t="s">
        <v>7420</v>
      </c>
      <c r="E993" s="21">
        <v>12</v>
      </c>
      <c r="G993" s="1" t="s">
        <v>6897</v>
      </c>
      <c r="H993" s="1" t="s">
        <v>7202</v>
      </c>
      <c r="I993" s="5">
        <v>39835</v>
      </c>
      <c r="J993" s="18" t="s">
        <v>11</v>
      </c>
      <c r="K993" s="1" t="s">
        <v>686</v>
      </c>
      <c r="L993" s="1" t="s">
        <v>687</v>
      </c>
      <c r="M993" s="5"/>
      <c r="N993" s="5" t="s">
        <v>10</v>
      </c>
      <c r="O993" s="5" t="s">
        <v>10</v>
      </c>
      <c r="P993" s="1" t="s">
        <v>3458</v>
      </c>
      <c r="Q993" s="1" t="s">
        <v>33</v>
      </c>
      <c r="R993" s="2" t="s">
        <v>4803</v>
      </c>
      <c r="S993" s="1" t="s">
        <v>6243</v>
      </c>
      <c r="T993" s="1">
        <v>1986</v>
      </c>
      <c r="U993" s="1">
        <v>1986</v>
      </c>
      <c r="V993" s="1">
        <v>1986</v>
      </c>
    </row>
    <row r="994" spans="1:37" x14ac:dyDescent="0.2">
      <c r="A994" s="1" t="s">
        <v>688</v>
      </c>
      <c r="B994" s="1">
        <v>19165232</v>
      </c>
      <c r="C994" s="1" t="s">
        <v>7420</v>
      </c>
      <c r="E994" s="21">
        <v>4196</v>
      </c>
      <c r="G994" s="1" t="s">
        <v>692</v>
      </c>
      <c r="H994" s="1" t="s">
        <v>179</v>
      </c>
      <c r="I994" s="5">
        <v>39836</v>
      </c>
      <c r="J994" s="18" t="s">
        <v>11</v>
      </c>
      <c r="K994" s="1" t="s">
        <v>689</v>
      </c>
      <c r="L994" s="1" t="s">
        <v>690</v>
      </c>
      <c r="M994" s="5"/>
      <c r="N994" s="5" t="s">
        <v>10</v>
      </c>
      <c r="O994" s="5" t="s">
        <v>10</v>
      </c>
      <c r="P994" s="1" t="s">
        <v>691</v>
      </c>
      <c r="Q994" s="1" t="s">
        <v>33</v>
      </c>
      <c r="R994" s="2" t="s">
        <v>4361</v>
      </c>
      <c r="S994" s="1" t="s">
        <v>6242</v>
      </c>
      <c r="T994" s="1">
        <v>400</v>
      </c>
      <c r="U994" s="1">
        <v>400</v>
      </c>
      <c r="X994" s="1">
        <v>400</v>
      </c>
    </row>
    <row r="995" spans="1:37" x14ac:dyDescent="0.2">
      <c r="A995" s="1" t="s">
        <v>486</v>
      </c>
      <c r="B995" s="1">
        <v>19165918</v>
      </c>
      <c r="C995" s="1" t="s">
        <v>7420</v>
      </c>
      <c r="E995" s="21">
        <v>137</v>
      </c>
      <c r="G995" s="1" t="s">
        <v>218</v>
      </c>
      <c r="H995" s="1" t="s">
        <v>7376</v>
      </c>
      <c r="I995" s="5">
        <v>39661</v>
      </c>
      <c r="J995" s="18" t="s">
        <v>11</v>
      </c>
      <c r="K995" s="1" t="s">
        <v>28</v>
      </c>
      <c r="L995" s="1" t="s">
        <v>487</v>
      </c>
      <c r="M995" s="5"/>
      <c r="N995" s="5" t="s">
        <v>10</v>
      </c>
      <c r="O995" s="5" t="s">
        <v>10</v>
      </c>
      <c r="P995" s="1" t="s">
        <v>3630</v>
      </c>
      <c r="Q995" s="1" t="s">
        <v>3631</v>
      </c>
      <c r="R995" s="2" t="s">
        <v>5884</v>
      </c>
      <c r="S995" s="1" t="s">
        <v>6243</v>
      </c>
      <c r="T995" s="1">
        <v>4806</v>
      </c>
      <c r="U995" s="1">
        <v>2586</v>
      </c>
      <c r="V995" s="1">
        <v>2586</v>
      </c>
      <c r="AH995" s="1">
        <v>2220</v>
      </c>
      <c r="AI995" s="1">
        <v>2220</v>
      </c>
    </row>
    <row r="996" spans="1:37" x14ac:dyDescent="0.2">
      <c r="A996" s="1" t="s">
        <v>489</v>
      </c>
      <c r="B996" s="1">
        <v>19165924</v>
      </c>
      <c r="C996" s="1" t="s">
        <v>7420</v>
      </c>
      <c r="E996" s="21">
        <v>179</v>
      </c>
      <c r="G996" s="1" t="s">
        <v>491</v>
      </c>
      <c r="H996" s="1" t="s">
        <v>492</v>
      </c>
      <c r="I996" s="5">
        <v>39670</v>
      </c>
      <c r="J996" s="18" t="s">
        <v>11</v>
      </c>
      <c r="K996" s="1" t="s">
        <v>28</v>
      </c>
      <c r="L996" s="1" t="s">
        <v>490</v>
      </c>
      <c r="M996" s="5"/>
      <c r="N996" s="5" t="s">
        <v>10</v>
      </c>
      <c r="O996" s="5" t="s">
        <v>10</v>
      </c>
      <c r="P996" s="1" t="s">
        <v>3597</v>
      </c>
      <c r="Q996" s="1" t="s">
        <v>3932</v>
      </c>
      <c r="R996" s="2" t="s">
        <v>5895</v>
      </c>
      <c r="S996" s="1" t="s">
        <v>6243</v>
      </c>
      <c r="T996" s="1">
        <v>4470</v>
      </c>
      <c r="U996" s="1">
        <v>989</v>
      </c>
      <c r="V996" s="1">
        <v>989</v>
      </c>
      <c r="AH996" s="1">
        <v>3481</v>
      </c>
      <c r="AI996" s="1">
        <v>3481</v>
      </c>
    </row>
    <row r="997" spans="1:37" x14ac:dyDescent="0.2">
      <c r="A997" s="1" t="s">
        <v>693</v>
      </c>
      <c r="B997" s="1">
        <v>19169254</v>
      </c>
      <c r="C997" s="1" t="s">
        <v>7420</v>
      </c>
      <c r="E997" s="21">
        <v>60</v>
      </c>
      <c r="G997" s="1" t="s">
        <v>136</v>
      </c>
      <c r="H997" s="1" t="s">
        <v>137</v>
      </c>
      <c r="I997" s="5">
        <v>39838</v>
      </c>
      <c r="J997" s="18" t="s">
        <v>11</v>
      </c>
      <c r="K997" s="1" t="s">
        <v>28</v>
      </c>
      <c r="L997" s="1" t="s">
        <v>694</v>
      </c>
      <c r="M997" s="5"/>
      <c r="N997" s="5" t="s">
        <v>10</v>
      </c>
      <c r="O997" s="5" t="s">
        <v>10</v>
      </c>
      <c r="P997" s="1" t="s">
        <v>5665</v>
      </c>
      <c r="Q997" s="1" t="s">
        <v>5666</v>
      </c>
      <c r="R997" s="2" t="s">
        <v>695</v>
      </c>
      <c r="S997" s="1" t="s">
        <v>6243</v>
      </c>
      <c r="T997" s="1">
        <v>12848</v>
      </c>
      <c r="U997" s="1">
        <v>2759</v>
      </c>
      <c r="V997" s="1">
        <v>2759</v>
      </c>
      <c r="AH997" s="1">
        <v>10089</v>
      </c>
      <c r="AI997" s="1">
        <v>10089</v>
      </c>
    </row>
    <row r="998" spans="1:37" x14ac:dyDescent="0.2">
      <c r="A998" s="1" t="s">
        <v>696</v>
      </c>
      <c r="B998" s="1">
        <v>19169255</v>
      </c>
      <c r="C998" s="1" t="s">
        <v>7420</v>
      </c>
      <c r="E998" s="21">
        <v>98</v>
      </c>
      <c r="G998" s="1" t="s">
        <v>136</v>
      </c>
      <c r="H998" s="1" t="s">
        <v>137</v>
      </c>
      <c r="I998" s="5">
        <v>39838</v>
      </c>
      <c r="J998" s="18" t="s">
        <v>11</v>
      </c>
      <c r="K998" s="1" t="s">
        <v>28</v>
      </c>
      <c r="L998" s="1" t="s">
        <v>697</v>
      </c>
      <c r="M998" s="5"/>
      <c r="N998" s="5" t="s">
        <v>10</v>
      </c>
      <c r="O998" s="5" t="s">
        <v>10</v>
      </c>
      <c r="P998" s="1" t="s">
        <v>3970</v>
      </c>
      <c r="Q998" s="1" t="s">
        <v>4721</v>
      </c>
      <c r="R998" s="2" t="s">
        <v>4421</v>
      </c>
      <c r="S998" s="1" t="s">
        <v>6242</v>
      </c>
      <c r="T998" s="1">
        <v>15332</v>
      </c>
      <c r="U998" s="1">
        <v>2271</v>
      </c>
      <c r="X998" s="1">
        <v>2271</v>
      </c>
      <c r="AH998" s="1">
        <v>13061</v>
      </c>
      <c r="AK998" s="1">
        <v>13061</v>
      </c>
    </row>
    <row r="999" spans="1:37" x14ac:dyDescent="0.2">
      <c r="A999" s="1" t="s">
        <v>698</v>
      </c>
      <c r="B999" s="1">
        <v>19176441</v>
      </c>
      <c r="C999" s="1" t="s">
        <v>7420</v>
      </c>
      <c r="E999" s="21">
        <v>268</v>
      </c>
      <c r="G999" s="1" t="s">
        <v>6761</v>
      </c>
      <c r="H999" s="1" t="s">
        <v>6673</v>
      </c>
      <c r="I999" s="5">
        <v>39841</v>
      </c>
      <c r="J999" s="18" t="s">
        <v>11</v>
      </c>
      <c r="K999" s="1" t="s">
        <v>699</v>
      </c>
      <c r="L999" s="1" t="s">
        <v>700</v>
      </c>
      <c r="M999" s="5"/>
      <c r="N999" s="5" t="s">
        <v>10</v>
      </c>
      <c r="O999" s="5" t="s">
        <v>10</v>
      </c>
      <c r="P999" s="1" t="s">
        <v>6397</v>
      </c>
      <c r="Q999" s="1" t="s">
        <v>33</v>
      </c>
      <c r="R999" s="2" t="s">
        <v>4630</v>
      </c>
      <c r="S999" s="1" t="s">
        <v>6244</v>
      </c>
      <c r="T999" s="1">
        <v>487</v>
      </c>
      <c r="U999" s="1">
        <v>487</v>
      </c>
      <c r="V999" s="1">
        <v>356</v>
      </c>
      <c r="W999" s="1">
        <v>53</v>
      </c>
      <c r="AE999" s="1">
        <v>78</v>
      </c>
    </row>
    <row r="1000" spans="1:37" x14ac:dyDescent="0.2">
      <c r="A1000" s="1" t="s">
        <v>623</v>
      </c>
      <c r="B1000" s="1">
        <v>19181680</v>
      </c>
      <c r="C1000" s="1" t="s">
        <v>7420</v>
      </c>
      <c r="E1000" s="21">
        <v>203</v>
      </c>
      <c r="G1000" s="1" t="s">
        <v>413</v>
      </c>
      <c r="H1000" s="1" t="s">
        <v>7231</v>
      </c>
      <c r="I1000" s="5">
        <v>39843</v>
      </c>
      <c r="J1000" s="18" t="s">
        <v>11</v>
      </c>
      <c r="K1000" s="1" t="s">
        <v>103</v>
      </c>
      <c r="L1000" s="1" t="s">
        <v>704</v>
      </c>
      <c r="M1000" s="5"/>
      <c r="N1000" s="5" t="s">
        <v>10</v>
      </c>
      <c r="O1000" s="5" t="s">
        <v>10</v>
      </c>
      <c r="P1000" s="1" t="s">
        <v>3746</v>
      </c>
      <c r="Q1000" s="1" t="s">
        <v>4295</v>
      </c>
      <c r="R1000" s="2" t="s">
        <v>4522</v>
      </c>
      <c r="S1000" s="1" t="s">
        <v>6243</v>
      </c>
      <c r="T1000" s="1">
        <v>5428</v>
      </c>
      <c r="U1000" s="1">
        <v>1553</v>
      </c>
      <c r="V1000" s="1">
        <v>1553</v>
      </c>
      <c r="AH1000" s="1">
        <v>3875</v>
      </c>
      <c r="AI1000" s="1">
        <v>3875</v>
      </c>
    </row>
    <row r="1001" spans="1:37" x14ac:dyDescent="0.2">
      <c r="A1001" s="1" t="s">
        <v>156</v>
      </c>
      <c r="B1001" s="1">
        <v>19182806</v>
      </c>
      <c r="C1001" s="1" t="s">
        <v>7420</v>
      </c>
      <c r="E1001" s="21">
        <v>8</v>
      </c>
      <c r="G1001" s="1" t="s">
        <v>706</v>
      </c>
      <c r="H1001" s="1" t="s">
        <v>7077</v>
      </c>
      <c r="I1001" s="5">
        <v>39845</v>
      </c>
      <c r="J1001" s="18" t="s">
        <v>11</v>
      </c>
      <c r="K1001" s="1" t="s">
        <v>28</v>
      </c>
      <c r="L1001" s="1" t="s">
        <v>705</v>
      </c>
      <c r="M1001" s="5"/>
      <c r="N1001" s="5" t="s">
        <v>10</v>
      </c>
      <c r="O1001" s="5" t="s">
        <v>10</v>
      </c>
      <c r="P1001" s="1" t="s">
        <v>3626</v>
      </c>
      <c r="Q1001" s="1" t="s">
        <v>3929</v>
      </c>
      <c r="R1001" s="2" t="s">
        <v>4536</v>
      </c>
      <c r="S1001" s="1" t="s">
        <v>6243</v>
      </c>
      <c r="T1001" s="1">
        <v>16549</v>
      </c>
      <c r="U1001" s="1">
        <v>14830</v>
      </c>
      <c r="V1001" s="1">
        <v>14830</v>
      </c>
      <c r="AH1001" s="1">
        <v>1719</v>
      </c>
      <c r="AI1001" s="1">
        <v>1719</v>
      </c>
    </row>
    <row r="1002" spans="1:37" x14ac:dyDescent="0.2">
      <c r="A1002" s="1" t="s">
        <v>701</v>
      </c>
      <c r="B1002" s="1">
        <v>19184112</v>
      </c>
      <c r="C1002" s="1" t="s">
        <v>7420</v>
      </c>
      <c r="E1002" s="21">
        <v>57</v>
      </c>
      <c r="G1002" s="1" t="s">
        <v>61</v>
      </c>
      <c r="H1002" s="1" t="s">
        <v>7396</v>
      </c>
      <c r="I1002" s="5">
        <v>39842</v>
      </c>
      <c r="J1002" s="18" t="s">
        <v>10</v>
      </c>
      <c r="K1002" s="1" t="s">
        <v>595</v>
      </c>
      <c r="L1002" s="1" t="s">
        <v>2831</v>
      </c>
      <c r="M1002" s="5"/>
      <c r="N1002" s="5" t="s">
        <v>10</v>
      </c>
      <c r="O1002" s="5" t="s">
        <v>10</v>
      </c>
      <c r="P1002" s="1" t="s">
        <v>5347</v>
      </c>
      <c r="Q1002" s="1" t="s">
        <v>33</v>
      </c>
      <c r="R1002" s="2" t="s">
        <v>5793</v>
      </c>
      <c r="S1002" s="1" t="s">
        <v>6389</v>
      </c>
      <c r="T1002" s="1">
        <v>1634</v>
      </c>
      <c r="U1002" s="1">
        <v>1634</v>
      </c>
      <c r="V1002" s="1">
        <v>1235</v>
      </c>
      <c r="AE1002" s="1">
        <v>399</v>
      </c>
    </row>
    <row r="1003" spans="1:37" x14ac:dyDescent="0.2">
      <c r="A1003" s="1" t="s">
        <v>702</v>
      </c>
      <c r="B1003" s="1">
        <v>19185284</v>
      </c>
      <c r="C1003" s="1" t="s">
        <v>7420</v>
      </c>
      <c r="E1003" s="21">
        <v>78</v>
      </c>
      <c r="G1003" s="1" t="s">
        <v>6898</v>
      </c>
      <c r="H1003" s="1" t="s">
        <v>7202</v>
      </c>
      <c r="I1003" s="5">
        <v>39842</v>
      </c>
      <c r="J1003" s="18" t="s">
        <v>11</v>
      </c>
      <c r="K1003" s="1" t="s">
        <v>16</v>
      </c>
      <c r="L1003" s="1" t="s">
        <v>703</v>
      </c>
      <c r="M1003" s="5"/>
      <c r="N1003" s="5" t="s">
        <v>10</v>
      </c>
      <c r="O1003" s="5" t="s">
        <v>10</v>
      </c>
      <c r="P1003" s="1" t="s">
        <v>3733</v>
      </c>
      <c r="Q1003" s="1" t="s">
        <v>4127</v>
      </c>
      <c r="R1003" s="2" t="s">
        <v>4946</v>
      </c>
      <c r="S1003" s="1" t="s">
        <v>6243</v>
      </c>
      <c r="T1003" s="1">
        <v>3942</v>
      </c>
      <c r="U1003" s="1">
        <v>1191</v>
      </c>
      <c r="V1003" s="1">
        <v>1191</v>
      </c>
      <c r="AH1003" s="1">
        <v>2751</v>
      </c>
      <c r="AI1003" s="1">
        <v>2751</v>
      </c>
    </row>
    <row r="1004" spans="1:37" x14ac:dyDescent="0.2">
      <c r="A1004" s="1" t="s">
        <v>710</v>
      </c>
      <c r="B1004" s="1">
        <v>19187332</v>
      </c>
      <c r="C1004" s="1" t="s">
        <v>7420</v>
      </c>
      <c r="E1004" s="21">
        <v>59</v>
      </c>
      <c r="G1004" s="1" t="s">
        <v>6709</v>
      </c>
      <c r="H1004" s="1" t="s">
        <v>7139</v>
      </c>
      <c r="I1004" s="5">
        <v>39845</v>
      </c>
      <c r="J1004" s="18" t="s">
        <v>11</v>
      </c>
      <c r="K1004" s="1" t="s">
        <v>711</v>
      </c>
      <c r="L1004" s="1" t="s">
        <v>712</v>
      </c>
      <c r="M1004" s="5"/>
      <c r="N1004" s="5" t="s">
        <v>10</v>
      </c>
      <c r="O1004" s="5" t="s">
        <v>10</v>
      </c>
      <c r="P1004" s="1" t="s">
        <v>713</v>
      </c>
      <c r="Q1004" s="1" t="s">
        <v>33</v>
      </c>
      <c r="R1004" s="2" t="s">
        <v>4272</v>
      </c>
      <c r="S1004" s="1" t="s">
        <v>6242</v>
      </c>
      <c r="T1004" s="1">
        <v>347</v>
      </c>
      <c r="U1004" s="1">
        <v>347</v>
      </c>
      <c r="X1004" s="1">
        <v>347</v>
      </c>
    </row>
    <row r="1005" spans="1:37" x14ac:dyDescent="0.2">
      <c r="A1005" s="1" t="s">
        <v>517</v>
      </c>
      <c r="B1005" s="1">
        <v>19188921</v>
      </c>
      <c r="C1005" s="1" t="s">
        <v>7420</v>
      </c>
      <c r="E1005" s="21">
        <v>66</v>
      </c>
      <c r="G1005" s="1" t="s">
        <v>723</v>
      </c>
      <c r="H1005" s="1" t="s">
        <v>7156</v>
      </c>
      <c r="I1005" s="5">
        <v>39847</v>
      </c>
      <c r="J1005" s="18" t="s">
        <v>11</v>
      </c>
      <c r="K1005" s="1" t="s">
        <v>71</v>
      </c>
      <c r="L1005" s="1" t="s">
        <v>722</v>
      </c>
      <c r="M1005" s="5"/>
      <c r="N1005" s="5" t="s">
        <v>10</v>
      </c>
      <c r="O1005" s="5" t="s">
        <v>10</v>
      </c>
      <c r="P1005" s="1" t="s">
        <v>6176</v>
      </c>
      <c r="Q1005" s="1" t="s">
        <v>6177</v>
      </c>
      <c r="R1005" s="2" t="s">
        <v>4865</v>
      </c>
      <c r="S1005" s="1" t="s">
        <v>6244</v>
      </c>
      <c r="T1005" s="1">
        <v>9714</v>
      </c>
      <c r="U1005" s="1">
        <v>840</v>
      </c>
      <c r="V1005" s="1">
        <v>840</v>
      </c>
      <c r="AH1005" s="1">
        <v>8874</v>
      </c>
      <c r="AI1005" s="1">
        <v>7623</v>
      </c>
      <c r="AJ1005" s="1">
        <v>1251</v>
      </c>
    </row>
    <row r="1006" spans="1:37" x14ac:dyDescent="0.2">
      <c r="A1006" s="1" t="s">
        <v>725</v>
      </c>
      <c r="B1006" s="1">
        <v>19193627</v>
      </c>
      <c r="C1006" s="1" t="s">
        <v>7420</v>
      </c>
      <c r="E1006" s="21">
        <v>1486</v>
      </c>
      <c r="G1006" s="1" t="s">
        <v>57</v>
      </c>
      <c r="H1006" s="1" t="s">
        <v>7142</v>
      </c>
      <c r="I1006" s="5">
        <v>39848</v>
      </c>
      <c r="J1006" s="18" t="s">
        <v>11</v>
      </c>
      <c r="K1006" s="1" t="s">
        <v>103</v>
      </c>
      <c r="L1006" s="1" t="s">
        <v>724</v>
      </c>
      <c r="M1006" s="5"/>
      <c r="N1006" s="5" t="s">
        <v>10</v>
      </c>
      <c r="O1006" s="5" t="s">
        <v>10</v>
      </c>
      <c r="P1006" s="1" t="s">
        <v>3573</v>
      </c>
      <c r="Q1006" s="1" t="s">
        <v>4312</v>
      </c>
      <c r="R1006" s="2" t="s">
        <v>4541</v>
      </c>
      <c r="S1006" s="1" t="s">
        <v>6243</v>
      </c>
      <c r="T1006" s="1">
        <v>9375</v>
      </c>
      <c r="U1006" s="1">
        <v>2891</v>
      </c>
      <c r="V1006" s="1">
        <v>2891</v>
      </c>
      <c r="AH1006" s="1">
        <v>6484</v>
      </c>
      <c r="AI1006" s="1">
        <v>6484</v>
      </c>
    </row>
    <row r="1007" spans="1:37" x14ac:dyDescent="0.2">
      <c r="A1007" s="1" t="s">
        <v>726</v>
      </c>
      <c r="B1007" s="1">
        <v>19196962</v>
      </c>
      <c r="C1007" s="1" t="s">
        <v>7420</v>
      </c>
      <c r="E1007" s="21">
        <v>88</v>
      </c>
      <c r="G1007" s="1" t="s">
        <v>730</v>
      </c>
      <c r="H1007" s="1" t="s">
        <v>152</v>
      </c>
      <c r="I1007" s="5">
        <v>39849</v>
      </c>
      <c r="J1007" s="18" t="s">
        <v>11</v>
      </c>
      <c r="K1007" s="1" t="s">
        <v>210</v>
      </c>
      <c r="L1007" s="1" t="s">
        <v>727</v>
      </c>
      <c r="M1007" s="5"/>
      <c r="N1007" s="5" t="s">
        <v>10</v>
      </c>
      <c r="O1007" s="5" t="s">
        <v>10</v>
      </c>
      <c r="P1007" s="1" t="s">
        <v>728</v>
      </c>
      <c r="Q1007" s="1" t="s">
        <v>729</v>
      </c>
      <c r="R1007" s="2" t="s">
        <v>4343</v>
      </c>
      <c r="S1007" s="1" t="s">
        <v>6242</v>
      </c>
      <c r="T1007" s="1">
        <v>1227</v>
      </c>
      <c r="U1007" s="1">
        <v>527</v>
      </c>
      <c r="X1007" s="1">
        <v>527</v>
      </c>
      <c r="AH1007" s="1">
        <v>700</v>
      </c>
      <c r="AK1007" s="1">
        <v>700</v>
      </c>
    </row>
    <row r="1008" spans="1:37" x14ac:dyDescent="0.2">
      <c r="A1008" s="1" t="s">
        <v>733</v>
      </c>
      <c r="B1008" s="1">
        <v>19197348</v>
      </c>
      <c r="C1008" s="1" t="s">
        <v>7420</v>
      </c>
      <c r="E1008" s="21">
        <v>103</v>
      </c>
      <c r="G1008" s="1" t="s">
        <v>6929</v>
      </c>
      <c r="H1008" s="1" t="s">
        <v>7225</v>
      </c>
      <c r="I1008" s="5">
        <v>39850</v>
      </c>
      <c r="J1008" s="18" t="s">
        <v>11</v>
      </c>
      <c r="K1008" s="1" t="s">
        <v>65</v>
      </c>
      <c r="L1008" s="1" t="s">
        <v>734</v>
      </c>
      <c r="M1008" s="5"/>
      <c r="N1008" s="5" t="s">
        <v>10</v>
      </c>
      <c r="O1008" s="5" t="s">
        <v>10</v>
      </c>
      <c r="P1008" s="1" t="s">
        <v>4291</v>
      </c>
      <c r="Q1008" s="1" t="s">
        <v>33</v>
      </c>
      <c r="R1008" s="2" t="s">
        <v>4862</v>
      </c>
      <c r="S1008" s="1" t="s">
        <v>6433</v>
      </c>
      <c r="T1008" s="1">
        <v>2906</v>
      </c>
      <c r="U1008" s="1">
        <v>2906</v>
      </c>
      <c r="AB1008" s="1">
        <v>2906</v>
      </c>
    </row>
    <row r="1009" spans="1:47" x14ac:dyDescent="0.2">
      <c r="A1009" s="1" t="s">
        <v>735</v>
      </c>
      <c r="B1009" s="1">
        <v>19197363</v>
      </c>
      <c r="C1009" s="1" t="s">
        <v>7420</v>
      </c>
      <c r="E1009" s="21">
        <v>37178</v>
      </c>
      <c r="G1009" s="1" t="s">
        <v>74</v>
      </c>
      <c r="H1009" s="1" t="s">
        <v>2545</v>
      </c>
      <c r="I1009" s="5">
        <v>39850</v>
      </c>
      <c r="J1009" s="18" t="s">
        <v>11</v>
      </c>
      <c r="K1009" s="1" t="s">
        <v>65</v>
      </c>
      <c r="L1009" s="1" t="s">
        <v>736</v>
      </c>
      <c r="M1009" s="5"/>
      <c r="N1009" s="5" t="s">
        <v>10</v>
      </c>
      <c r="O1009" s="5" t="s">
        <v>10</v>
      </c>
      <c r="P1009" s="1" t="s">
        <v>5406</v>
      </c>
      <c r="Q1009" s="1" t="s">
        <v>5407</v>
      </c>
      <c r="R1009" s="2" t="s">
        <v>4275</v>
      </c>
      <c r="S1009" s="1" t="s">
        <v>6243</v>
      </c>
      <c r="T1009" s="1">
        <v>16189</v>
      </c>
      <c r="U1009" s="1">
        <v>1734</v>
      </c>
      <c r="V1009" s="1">
        <v>1734</v>
      </c>
      <c r="AH1009" s="1">
        <v>14455</v>
      </c>
      <c r="AI1009" s="1">
        <v>14455</v>
      </c>
    </row>
    <row r="1010" spans="1:47" x14ac:dyDescent="0.2">
      <c r="A1010" s="1" t="s">
        <v>239</v>
      </c>
      <c r="B1010" s="1">
        <v>19198609</v>
      </c>
      <c r="C1010" s="1" t="s">
        <v>7420</v>
      </c>
      <c r="E1010" s="21">
        <v>12</v>
      </c>
      <c r="G1010" s="1" t="s">
        <v>9</v>
      </c>
      <c r="H1010" s="1" t="s">
        <v>7192</v>
      </c>
      <c r="I1010" s="5">
        <v>39852</v>
      </c>
      <c r="J1010" s="18" t="s">
        <v>11</v>
      </c>
      <c r="K1010" s="1" t="s">
        <v>28</v>
      </c>
      <c r="L1010" s="1" t="s">
        <v>738</v>
      </c>
      <c r="M1010" s="5"/>
      <c r="N1010" s="5" t="s">
        <v>10</v>
      </c>
      <c r="O1010" s="5" t="s">
        <v>10</v>
      </c>
      <c r="P1010" s="1" t="s">
        <v>3806</v>
      </c>
      <c r="Q1010" s="1" t="s">
        <v>4877</v>
      </c>
      <c r="R1010" s="2" t="s">
        <v>739</v>
      </c>
      <c r="S1010" s="1" t="s">
        <v>6243</v>
      </c>
      <c r="T1010" s="1">
        <v>25534</v>
      </c>
      <c r="U1010" s="1">
        <v>6042</v>
      </c>
      <c r="V1010" s="1">
        <v>6042</v>
      </c>
      <c r="AH1010" s="1">
        <v>19492</v>
      </c>
      <c r="AI1010" s="1">
        <v>19492</v>
      </c>
    </row>
    <row r="1011" spans="1:47" x14ac:dyDescent="0.2">
      <c r="A1011" s="1" t="s">
        <v>166</v>
      </c>
      <c r="B1011" s="1">
        <v>19198610</v>
      </c>
      <c r="C1011" s="1" t="s">
        <v>7420</v>
      </c>
      <c r="E1011" s="21">
        <v>120</v>
      </c>
      <c r="G1011" s="1" t="s">
        <v>6774</v>
      </c>
      <c r="H1011" s="1" t="s">
        <v>7219</v>
      </c>
      <c r="I1011" s="5">
        <v>39852</v>
      </c>
      <c r="J1011" s="18" t="s">
        <v>11</v>
      </c>
      <c r="K1011" s="1" t="s">
        <v>28</v>
      </c>
      <c r="L1011" s="1" t="s">
        <v>740</v>
      </c>
      <c r="M1011" s="5"/>
      <c r="N1011" s="5" t="s">
        <v>10</v>
      </c>
      <c r="O1011" s="5" t="s">
        <v>10</v>
      </c>
      <c r="P1011" s="1" t="s">
        <v>4942</v>
      </c>
      <c r="Q1011" s="1" t="s">
        <v>4607</v>
      </c>
      <c r="R1011" s="2" t="s">
        <v>4278</v>
      </c>
      <c r="S1011" s="1" t="s">
        <v>6244</v>
      </c>
      <c r="T1011" s="1">
        <v>26722</v>
      </c>
      <c r="U1011" s="1">
        <v>9392</v>
      </c>
      <c r="V1011" s="1">
        <v>9392</v>
      </c>
      <c r="AH1011" s="1">
        <v>17330</v>
      </c>
      <c r="AI1011" s="1">
        <v>12118</v>
      </c>
      <c r="AK1011" s="1">
        <v>5212</v>
      </c>
    </row>
    <row r="1012" spans="1:47" x14ac:dyDescent="0.2">
      <c r="A1012" s="1" t="s">
        <v>3638</v>
      </c>
      <c r="B1012" s="1">
        <v>19198611</v>
      </c>
      <c r="C1012" s="1" t="s">
        <v>7420</v>
      </c>
      <c r="E1012" s="21">
        <v>4</v>
      </c>
      <c r="G1012" s="1" t="s">
        <v>9</v>
      </c>
      <c r="H1012" s="1" t="s">
        <v>7192</v>
      </c>
      <c r="I1012" s="5">
        <v>39852</v>
      </c>
      <c r="J1012" s="18" t="s">
        <v>11</v>
      </c>
      <c r="K1012" s="1" t="s">
        <v>28</v>
      </c>
      <c r="L1012" s="1" t="s">
        <v>737</v>
      </c>
      <c r="M1012" s="5"/>
      <c r="N1012" s="5" t="s">
        <v>10</v>
      </c>
      <c r="O1012" s="5" t="s">
        <v>10</v>
      </c>
      <c r="P1012" s="1" t="s">
        <v>6109</v>
      </c>
      <c r="Q1012" s="1" t="s">
        <v>6110</v>
      </c>
      <c r="R1012" s="2" t="s">
        <v>4953</v>
      </c>
      <c r="S1012" s="1" t="s">
        <v>6243</v>
      </c>
      <c r="T1012" s="1">
        <v>19262</v>
      </c>
      <c r="U1012" s="1">
        <v>4864</v>
      </c>
      <c r="V1012" s="1">
        <v>4864</v>
      </c>
      <c r="AH1012" s="1">
        <v>14398</v>
      </c>
      <c r="AI1012" s="1">
        <v>14398</v>
      </c>
    </row>
    <row r="1013" spans="1:47" x14ac:dyDescent="0.2">
      <c r="A1013" s="1" t="s">
        <v>741</v>
      </c>
      <c r="B1013" s="1">
        <v>19198612</v>
      </c>
      <c r="C1013" s="1" t="s">
        <v>7420</v>
      </c>
      <c r="E1013" s="21">
        <v>21</v>
      </c>
      <c r="G1013" s="1" t="s">
        <v>165</v>
      </c>
      <c r="H1013" s="1" t="s">
        <v>7192</v>
      </c>
      <c r="I1013" s="5">
        <v>39852</v>
      </c>
      <c r="J1013" s="18" t="s">
        <v>11</v>
      </c>
      <c r="K1013" s="1" t="s">
        <v>28</v>
      </c>
      <c r="L1013" s="1" t="s">
        <v>742</v>
      </c>
      <c r="M1013" s="5"/>
      <c r="N1013" s="5" t="s">
        <v>10</v>
      </c>
      <c r="O1013" s="5" t="s">
        <v>10</v>
      </c>
      <c r="P1013" s="1" t="s">
        <v>3537</v>
      </c>
      <c r="Q1013" s="1" t="s">
        <v>3538</v>
      </c>
      <c r="R1013" s="2" t="s">
        <v>4708</v>
      </c>
      <c r="S1013" s="1" t="s">
        <v>6243</v>
      </c>
      <c r="T1013" s="1">
        <v>40773</v>
      </c>
      <c r="U1013" s="1">
        <v>2520</v>
      </c>
      <c r="V1013" s="1">
        <v>2520</v>
      </c>
      <c r="AH1013" s="1">
        <v>38253</v>
      </c>
      <c r="AI1013" s="1">
        <v>38253</v>
      </c>
    </row>
    <row r="1014" spans="1:47" x14ac:dyDescent="0.2">
      <c r="A1014" s="1" t="s">
        <v>78</v>
      </c>
      <c r="B1014" s="1">
        <v>19198613</v>
      </c>
      <c r="C1014" s="1" t="s">
        <v>7420</v>
      </c>
      <c r="E1014" s="21">
        <v>18</v>
      </c>
      <c r="G1014" s="1" t="s">
        <v>732</v>
      </c>
      <c r="H1014" s="1" t="s">
        <v>2677</v>
      </c>
      <c r="I1014" s="5">
        <v>39850</v>
      </c>
      <c r="J1014" s="18" t="s">
        <v>11</v>
      </c>
      <c r="K1014" s="1" t="s">
        <v>28</v>
      </c>
      <c r="L1014" s="1" t="s">
        <v>731</v>
      </c>
      <c r="M1014" s="5"/>
      <c r="N1014" s="5" t="s">
        <v>10</v>
      </c>
      <c r="O1014" s="5" t="s">
        <v>10</v>
      </c>
      <c r="P1014" s="1" t="s">
        <v>3774</v>
      </c>
      <c r="Q1014" s="1" t="s">
        <v>3907</v>
      </c>
      <c r="R1014" s="2" t="s">
        <v>4410</v>
      </c>
      <c r="S1014" s="1" t="s">
        <v>6243</v>
      </c>
      <c r="T1014" s="1">
        <v>39547</v>
      </c>
      <c r="U1014" s="1">
        <v>37388</v>
      </c>
      <c r="V1014" s="1">
        <v>37388</v>
      </c>
      <c r="AH1014" s="1">
        <v>2159</v>
      </c>
      <c r="AI1014" s="1">
        <v>2159</v>
      </c>
    </row>
    <row r="1015" spans="1:47" x14ac:dyDescent="0.2">
      <c r="A1015" s="1" t="s">
        <v>707</v>
      </c>
      <c r="B1015" s="1">
        <v>19207018</v>
      </c>
      <c r="C1015" s="1" t="s">
        <v>7420</v>
      </c>
      <c r="E1015" s="21">
        <v>6</v>
      </c>
      <c r="G1015" s="1" t="s">
        <v>6945</v>
      </c>
      <c r="H1015" s="1" t="s">
        <v>6944</v>
      </c>
      <c r="I1015" s="5">
        <v>39845</v>
      </c>
      <c r="J1015" s="18" t="s">
        <v>11</v>
      </c>
      <c r="K1015" s="1" t="s">
        <v>708</v>
      </c>
      <c r="L1015" s="1" t="s">
        <v>709</v>
      </c>
      <c r="M1015" s="5"/>
      <c r="N1015" s="5" t="s">
        <v>10</v>
      </c>
      <c r="O1015" s="5" t="s">
        <v>10</v>
      </c>
      <c r="P1015" s="1" t="s">
        <v>3566</v>
      </c>
      <c r="Q1015" s="1" t="s">
        <v>33</v>
      </c>
      <c r="R1015" s="2" t="s">
        <v>4419</v>
      </c>
      <c r="S1015" s="1" t="s">
        <v>6243</v>
      </c>
      <c r="T1015" s="1">
        <v>112</v>
      </c>
      <c r="U1015" s="1">
        <v>112</v>
      </c>
      <c r="V1015" s="1">
        <v>112</v>
      </c>
    </row>
    <row r="1016" spans="1:47" x14ac:dyDescent="0.2">
      <c r="A1016" s="1" t="s">
        <v>745</v>
      </c>
      <c r="B1016" s="1">
        <v>19219042</v>
      </c>
      <c r="C1016" s="1" t="s">
        <v>7420</v>
      </c>
      <c r="E1016" s="21">
        <v>39</v>
      </c>
      <c r="G1016" s="1" t="s">
        <v>119</v>
      </c>
      <c r="H1016" s="1" t="s">
        <v>6675</v>
      </c>
      <c r="I1016" s="5">
        <v>39859</v>
      </c>
      <c r="J1016" s="18" t="s">
        <v>11</v>
      </c>
      <c r="K1016" s="1" t="s">
        <v>28</v>
      </c>
      <c r="L1016" s="1" t="s">
        <v>746</v>
      </c>
      <c r="M1016" s="5"/>
      <c r="N1016" s="5" t="s">
        <v>11</v>
      </c>
      <c r="O1016" s="5" t="s">
        <v>11</v>
      </c>
      <c r="P1016" s="1" t="s">
        <v>3992</v>
      </c>
      <c r="Q1016" s="1" t="s">
        <v>3993</v>
      </c>
      <c r="R1016" s="2" t="s">
        <v>4723</v>
      </c>
      <c r="S1016" s="1" t="s">
        <v>6242</v>
      </c>
      <c r="T1016" s="1">
        <v>6157</v>
      </c>
      <c r="U1016" s="1">
        <v>3027</v>
      </c>
      <c r="X1016" s="1">
        <v>3027</v>
      </c>
      <c r="AH1016" s="1">
        <v>3130</v>
      </c>
      <c r="AK1016" s="1">
        <v>3130</v>
      </c>
    </row>
    <row r="1017" spans="1:47" x14ac:dyDescent="0.2">
      <c r="A1017" s="1" t="s">
        <v>743</v>
      </c>
      <c r="B1017" s="1">
        <v>19221038</v>
      </c>
      <c r="C1017" s="1" t="s">
        <v>7420</v>
      </c>
      <c r="E1017" s="21">
        <v>8</v>
      </c>
      <c r="G1017" s="1" t="s">
        <v>6753</v>
      </c>
      <c r="H1017" s="1" t="s">
        <v>7218</v>
      </c>
      <c r="I1017" s="5">
        <v>39856</v>
      </c>
      <c r="J1017" s="18" t="s">
        <v>11</v>
      </c>
      <c r="K1017" s="1" t="s">
        <v>455</v>
      </c>
      <c r="L1017" s="1" t="s">
        <v>744</v>
      </c>
      <c r="M1017" s="5"/>
      <c r="N1017" s="5" t="s">
        <v>10</v>
      </c>
      <c r="O1017" s="5" t="s">
        <v>10</v>
      </c>
      <c r="P1017" s="1" t="s">
        <v>3836</v>
      </c>
      <c r="Q1017" s="1" t="s">
        <v>4697</v>
      </c>
      <c r="R1017" s="2" t="s">
        <v>3900</v>
      </c>
      <c r="S1017" s="1" t="s">
        <v>6243</v>
      </c>
      <c r="T1017" s="1">
        <v>8586</v>
      </c>
      <c r="U1017" s="1">
        <v>1221</v>
      </c>
      <c r="V1017" s="1">
        <v>1221</v>
      </c>
      <c r="AH1017" s="1">
        <v>7365</v>
      </c>
      <c r="AI1017" s="1">
        <v>7365</v>
      </c>
      <c r="AU1017" s="3"/>
    </row>
    <row r="1018" spans="1:47" x14ac:dyDescent="0.2">
      <c r="A1018" s="1" t="s">
        <v>650</v>
      </c>
      <c r="B1018" s="1">
        <v>19222302</v>
      </c>
      <c r="C1018" s="1" t="s">
        <v>7420</v>
      </c>
      <c r="E1018" s="21">
        <v>27426</v>
      </c>
      <c r="F1018" s="17">
        <v>1</v>
      </c>
      <c r="G1018" s="1" t="s">
        <v>651</v>
      </c>
      <c r="H1018" s="1" t="s">
        <v>7353</v>
      </c>
      <c r="I1018" s="5">
        <v>39805</v>
      </c>
      <c r="J1018" s="18" t="s">
        <v>10</v>
      </c>
      <c r="K1018" s="1" t="s">
        <v>2819</v>
      </c>
      <c r="L1018" s="1" t="s">
        <v>2832</v>
      </c>
      <c r="M1018" s="5"/>
      <c r="N1018" s="5" t="s">
        <v>10</v>
      </c>
      <c r="O1018" s="5" t="s">
        <v>10</v>
      </c>
      <c r="P1018" s="2" t="s">
        <v>5424</v>
      </c>
      <c r="Q1018" s="1" t="s">
        <v>33</v>
      </c>
      <c r="R1018" s="2" t="s">
        <v>4955</v>
      </c>
      <c r="S1018" s="1" t="s">
        <v>6243</v>
      </c>
      <c r="T1018" s="1">
        <v>173</v>
      </c>
      <c r="U1018" s="1">
        <v>173</v>
      </c>
      <c r="V1018" s="1">
        <v>173</v>
      </c>
    </row>
    <row r="1019" spans="1:47" x14ac:dyDescent="0.2">
      <c r="A1019" s="1" t="s">
        <v>750</v>
      </c>
      <c r="B1019" s="1">
        <v>19230858</v>
      </c>
      <c r="C1019" s="1" t="s">
        <v>7420</v>
      </c>
      <c r="E1019" s="21">
        <v>221</v>
      </c>
      <c r="G1019" s="1" t="s">
        <v>752</v>
      </c>
      <c r="H1019" s="1" t="s">
        <v>753</v>
      </c>
      <c r="I1019" s="5">
        <v>39862</v>
      </c>
      <c r="J1019" s="18" t="s">
        <v>11</v>
      </c>
      <c r="K1019" s="1" t="s">
        <v>16</v>
      </c>
      <c r="L1019" s="1" t="s">
        <v>751</v>
      </c>
      <c r="M1019" s="5"/>
      <c r="N1019" s="5" t="s">
        <v>10</v>
      </c>
      <c r="O1019" s="5" t="s">
        <v>10</v>
      </c>
      <c r="P1019" s="1" t="s">
        <v>3797</v>
      </c>
      <c r="Q1019" s="1" t="s">
        <v>3798</v>
      </c>
      <c r="R1019" s="2" t="s">
        <v>4532</v>
      </c>
      <c r="S1019" s="1" t="s">
        <v>6243</v>
      </c>
      <c r="T1019" s="1">
        <v>2323</v>
      </c>
      <c r="U1019" s="1">
        <v>604</v>
      </c>
      <c r="V1019" s="1">
        <v>604</v>
      </c>
      <c r="AH1019" s="1">
        <v>1719</v>
      </c>
      <c r="AI1019" s="1">
        <v>1719</v>
      </c>
    </row>
    <row r="1020" spans="1:47" x14ac:dyDescent="0.2">
      <c r="A1020" s="1" t="s">
        <v>754</v>
      </c>
      <c r="B1020" s="1">
        <v>19242412</v>
      </c>
      <c r="C1020" s="1" t="s">
        <v>7420</v>
      </c>
      <c r="E1020" s="21">
        <v>18</v>
      </c>
      <c r="G1020" s="1" t="s">
        <v>7093</v>
      </c>
      <c r="H1020" s="1" t="s">
        <v>7073</v>
      </c>
      <c r="I1020" s="5">
        <v>39869</v>
      </c>
      <c r="J1020" s="18" t="s">
        <v>11</v>
      </c>
      <c r="K1020" s="1" t="s">
        <v>58</v>
      </c>
      <c r="L1020" s="1" t="s">
        <v>755</v>
      </c>
      <c r="M1020" s="5"/>
      <c r="N1020" s="5" t="s">
        <v>10</v>
      </c>
      <c r="O1020" s="5" t="s">
        <v>10</v>
      </c>
      <c r="P1020" s="1" t="s">
        <v>3852</v>
      </c>
      <c r="Q1020" s="1" t="s">
        <v>33</v>
      </c>
      <c r="R1020" s="2" t="s">
        <v>4951</v>
      </c>
      <c r="S1020" s="1" t="s">
        <v>6243</v>
      </c>
      <c r="T1020" s="1">
        <v>779</v>
      </c>
      <c r="U1020" s="1">
        <v>779</v>
      </c>
      <c r="V1020" s="1">
        <v>779</v>
      </c>
    </row>
    <row r="1021" spans="1:47" x14ac:dyDescent="0.2">
      <c r="A1021" s="1" t="s">
        <v>758</v>
      </c>
      <c r="B1021" s="1">
        <v>19247474</v>
      </c>
      <c r="C1021" s="1" t="s">
        <v>7420</v>
      </c>
      <c r="E1021" s="21">
        <v>56</v>
      </c>
      <c r="G1021" s="1" t="s">
        <v>723</v>
      </c>
      <c r="H1021" s="1" t="s">
        <v>7156</v>
      </c>
      <c r="I1021" s="5">
        <v>39871</v>
      </c>
      <c r="J1021" s="18" t="s">
        <v>11</v>
      </c>
      <c r="K1021" s="1" t="s">
        <v>181</v>
      </c>
      <c r="L1021" s="1" t="s">
        <v>759</v>
      </c>
      <c r="M1021" s="5"/>
      <c r="N1021" s="5" t="s">
        <v>10</v>
      </c>
      <c r="O1021" s="5" t="s">
        <v>10</v>
      </c>
      <c r="P1021" s="1" t="s">
        <v>3616</v>
      </c>
      <c r="Q1021" s="1" t="s">
        <v>33</v>
      </c>
      <c r="R1021" s="2" t="s">
        <v>4798</v>
      </c>
      <c r="S1021" s="1" t="s">
        <v>6243</v>
      </c>
      <c r="T1021" s="1">
        <v>4611</v>
      </c>
      <c r="U1021" s="1">
        <v>4611</v>
      </c>
      <c r="V1021" s="1">
        <v>4611</v>
      </c>
    </row>
    <row r="1022" spans="1:47" x14ac:dyDescent="0.2">
      <c r="A1022" s="1" t="s">
        <v>756</v>
      </c>
      <c r="B1022" s="1">
        <v>19249006</v>
      </c>
      <c r="C1022" s="1" t="s">
        <v>7420</v>
      </c>
      <c r="E1022" s="21">
        <v>61</v>
      </c>
      <c r="G1022" s="1" t="s">
        <v>413</v>
      </c>
      <c r="H1022" s="1" t="s">
        <v>7231</v>
      </c>
      <c r="I1022" s="5">
        <v>39869</v>
      </c>
      <c r="J1022" s="18" t="s">
        <v>11</v>
      </c>
      <c r="K1022" s="1" t="s">
        <v>16</v>
      </c>
      <c r="L1022" s="1" t="s">
        <v>757</v>
      </c>
      <c r="M1022" s="5"/>
      <c r="N1022" s="5" t="s">
        <v>10</v>
      </c>
      <c r="O1022" s="5" t="s">
        <v>10</v>
      </c>
      <c r="P1022" s="1" t="s">
        <v>5656</v>
      </c>
      <c r="Q1022" s="1" t="s">
        <v>5657</v>
      </c>
      <c r="R1022" s="2" t="s">
        <v>4865</v>
      </c>
      <c r="S1022" s="1" t="s">
        <v>6244</v>
      </c>
      <c r="T1022" s="1">
        <v>10488</v>
      </c>
      <c r="U1022" s="1">
        <v>1000</v>
      </c>
      <c r="V1022" s="1">
        <v>1000</v>
      </c>
      <c r="AH1022" s="1">
        <v>9488</v>
      </c>
      <c r="AI1022" s="1">
        <v>4925</v>
      </c>
      <c r="AJ1022" s="1">
        <v>908</v>
      </c>
      <c r="AK1022" s="1">
        <v>3655</v>
      </c>
    </row>
    <row r="1023" spans="1:47" x14ac:dyDescent="0.2">
      <c r="A1023" s="1" t="s">
        <v>760</v>
      </c>
      <c r="B1023" s="1">
        <v>19252134</v>
      </c>
      <c r="C1023" s="1" t="s">
        <v>7420</v>
      </c>
      <c r="E1023" s="21">
        <v>44</v>
      </c>
      <c r="G1023" s="1" t="s">
        <v>6876</v>
      </c>
      <c r="H1023" s="1" t="s">
        <v>7377</v>
      </c>
      <c r="I1023" s="5">
        <v>39871</v>
      </c>
      <c r="J1023" s="18" t="s">
        <v>11</v>
      </c>
      <c r="K1023" s="1" t="s">
        <v>90</v>
      </c>
      <c r="L1023" s="1" t="s">
        <v>761</v>
      </c>
      <c r="M1023" s="5"/>
      <c r="N1023" s="5" t="s">
        <v>10</v>
      </c>
      <c r="O1023" s="5" t="s">
        <v>10</v>
      </c>
      <c r="P1023" s="1" t="s">
        <v>3505</v>
      </c>
      <c r="Q1023" s="1" t="s">
        <v>3507</v>
      </c>
      <c r="R1023" s="2" t="s">
        <v>4886</v>
      </c>
      <c r="S1023" s="1" t="s">
        <v>6243</v>
      </c>
      <c r="T1023" s="1">
        <v>39906</v>
      </c>
      <c r="U1023" s="1">
        <v>1705</v>
      </c>
      <c r="V1023" s="1">
        <v>1705</v>
      </c>
      <c r="AH1023" s="1">
        <v>38201</v>
      </c>
      <c r="AI1023" s="1">
        <v>38201</v>
      </c>
    </row>
    <row r="1024" spans="1:47" x14ac:dyDescent="0.2">
      <c r="A1024" s="1" t="s">
        <v>762</v>
      </c>
      <c r="B1024" s="1">
        <v>19259986</v>
      </c>
      <c r="C1024" s="1" t="s">
        <v>7420</v>
      </c>
      <c r="E1024" s="21">
        <v>3974</v>
      </c>
      <c r="G1024" s="1" t="s">
        <v>112</v>
      </c>
      <c r="H1024" s="1" t="s">
        <v>7145</v>
      </c>
      <c r="I1024" s="5">
        <v>39874</v>
      </c>
      <c r="J1024" s="18" t="s">
        <v>11</v>
      </c>
      <c r="K1024" s="1" t="s">
        <v>43</v>
      </c>
      <c r="L1024" s="1" t="s">
        <v>763</v>
      </c>
      <c r="M1024" s="5"/>
      <c r="N1024" s="5" t="s">
        <v>10</v>
      </c>
      <c r="O1024" s="5" t="s">
        <v>10</v>
      </c>
      <c r="P1024" s="1" t="s">
        <v>3722</v>
      </c>
      <c r="Q1024" s="1" t="s">
        <v>764</v>
      </c>
      <c r="R1024" s="2" t="s">
        <v>4780</v>
      </c>
      <c r="S1024" s="1" t="s">
        <v>6242</v>
      </c>
      <c r="T1024" s="1">
        <v>1018</v>
      </c>
      <c r="U1024" s="1">
        <v>214</v>
      </c>
      <c r="X1024" s="1">
        <v>214</v>
      </c>
      <c r="AH1024" s="1">
        <v>804</v>
      </c>
      <c r="AK1024" s="1">
        <v>804</v>
      </c>
    </row>
    <row r="1025" spans="1:44" x14ac:dyDescent="0.2">
      <c r="A1025" s="1" t="s">
        <v>714</v>
      </c>
      <c r="B1025" s="1">
        <v>19260139</v>
      </c>
      <c r="C1025" s="1" t="s">
        <v>7420</v>
      </c>
      <c r="E1025" s="21">
        <v>15</v>
      </c>
      <c r="G1025" s="1" t="s">
        <v>6888</v>
      </c>
      <c r="H1025" s="1" t="s">
        <v>7305</v>
      </c>
      <c r="I1025" s="5">
        <v>39845</v>
      </c>
      <c r="J1025" s="18" t="s">
        <v>11</v>
      </c>
      <c r="K1025" s="1" t="s">
        <v>715</v>
      </c>
      <c r="L1025" s="1" t="s">
        <v>716</v>
      </c>
      <c r="M1025" s="5" t="s">
        <v>3484</v>
      </c>
      <c r="N1025" s="5" t="s">
        <v>10</v>
      </c>
      <c r="O1025" s="5" t="s">
        <v>10</v>
      </c>
      <c r="P1025" s="1" t="s">
        <v>3483</v>
      </c>
      <c r="Q1025" s="1" t="s">
        <v>33</v>
      </c>
      <c r="R1025" s="2" t="s">
        <v>4636</v>
      </c>
      <c r="S1025" s="1" t="s">
        <v>6243</v>
      </c>
      <c r="T1025" s="1">
        <v>898</v>
      </c>
      <c r="U1025" s="1">
        <v>898</v>
      </c>
      <c r="V1025" s="1">
        <v>898</v>
      </c>
    </row>
    <row r="1026" spans="1:44" x14ac:dyDescent="0.2">
      <c r="A1026" s="1" t="s">
        <v>717</v>
      </c>
      <c r="B1026" s="1">
        <v>19260141</v>
      </c>
      <c r="C1026" s="1" t="s">
        <v>7420</v>
      </c>
      <c r="E1026" s="21">
        <v>31</v>
      </c>
      <c r="G1026" s="1" t="s">
        <v>719</v>
      </c>
      <c r="H1026" s="1" t="s">
        <v>7283</v>
      </c>
      <c r="I1026" s="5">
        <v>39845</v>
      </c>
      <c r="J1026" s="18" t="s">
        <v>11</v>
      </c>
      <c r="K1026" s="1" t="s">
        <v>715</v>
      </c>
      <c r="L1026" s="1" t="s">
        <v>718</v>
      </c>
      <c r="M1026" s="5" t="s">
        <v>3484</v>
      </c>
      <c r="N1026" s="5" t="s">
        <v>10</v>
      </c>
      <c r="O1026" s="5" t="s">
        <v>10</v>
      </c>
      <c r="P1026" s="1" t="s">
        <v>3483</v>
      </c>
      <c r="Q1026" s="1" t="s">
        <v>33</v>
      </c>
      <c r="R1026" s="2" t="s">
        <v>4636</v>
      </c>
      <c r="S1026" s="1" t="s">
        <v>6243</v>
      </c>
      <c r="T1026" s="1">
        <v>898</v>
      </c>
      <c r="U1026" s="1">
        <v>898</v>
      </c>
      <c r="V1026" s="1">
        <v>898</v>
      </c>
    </row>
    <row r="1027" spans="1:44" x14ac:dyDescent="0.2">
      <c r="A1027" s="1" t="s">
        <v>765</v>
      </c>
      <c r="B1027" s="1">
        <v>19268274</v>
      </c>
      <c r="C1027" s="1" t="s">
        <v>7420</v>
      </c>
      <c r="E1027" s="21">
        <v>175</v>
      </c>
      <c r="G1027" s="1" t="s">
        <v>719</v>
      </c>
      <c r="H1027" s="1" t="s">
        <v>7283</v>
      </c>
      <c r="I1027" s="5">
        <v>39876</v>
      </c>
      <c r="J1027" s="18" t="s">
        <v>11</v>
      </c>
      <c r="K1027" s="1" t="s">
        <v>16</v>
      </c>
      <c r="L1027" s="1" t="s">
        <v>766</v>
      </c>
      <c r="M1027" s="5"/>
      <c r="N1027" s="5" t="s">
        <v>10</v>
      </c>
      <c r="O1027" s="5" t="s">
        <v>10</v>
      </c>
      <c r="P1027" s="1" t="s">
        <v>6111</v>
      </c>
      <c r="Q1027" s="1" t="s">
        <v>6112</v>
      </c>
      <c r="R1027" s="2" t="s">
        <v>4865</v>
      </c>
      <c r="S1027" s="1" t="s">
        <v>6244</v>
      </c>
      <c r="T1027" s="1">
        <v>7415</v>
      </c>
      <c r="U1027" s="1">
        <v>1000</v>
      </c>
      <c r="V1027" s="1">
        <v>1000</v>
      </c>
      <c r="AH1027" s="1">
        <v>6415</v>
      </c>
      <c r="AI1027" s="1">
        <v>3460</v>
      </c>
      <c r="AK1027" s="1">
        <v>2955</v>
      </c>
    </row>
    <row r="1028" spans="1:44" x14ac:dyDescent="0.2">
      <c r="A1028" s="1" t="s">
        <v>767</v>
      </c>
      <c r="B1028" s="1">
        <v>19268276</v>
      </c>
      <c r="C1028" s="1" t="s">
        <v>7420</v>
      </c>
      <c r="E1028" s="21">
        <v>1041</v>
      </c>
      <c r="G1028" s="1" t="s">
        <v>723</v>
      </c>
      <c r="H1028" s="1" t="s">
        <v>7156</v>
      </c>
      <c r="I1028" s="5">
        <v>39876</v>
      </c>
      <c r="J1028" s="18" t="s">
        <v>11</v>
      </c>
      <c r="K1028" s="1" t="s">
        <v>16</v>
      </c>
      <c r="L1028" s="1" t="s">
        <v>768</v>
      </c>
      <c r="M1028" s="5"/>
      <c r="N1028" s="5" t="s">
        <v>10</v>
      </c>
      <c r="O1028" s="5" t="s">
        <v>10</v>
      </c>
      <c r="P1028" s="1" t="s">
        <v>3687</v>
      </c>
      <c r="Q1028" s="1" t="s">
        <v>3688</v>
      </c>
      <c r="R1028" s="2" t="s">
        <v>4702</v>
      </c>
      <c r="S1028" s="1" t="s">
        <v>6243</v>
      </c>
      <c r="T1028" s="1">
        <v>11360</v>
      </c>
      <c r="U1028" s="1">
        <v>3497</v>
      </c>
      <c r="V1028" s="1">
        <v>3497</v>
      </c>
      <c r="AH1028" s="1">
        <v>7863</v>
      </c>
      <c r="AI1028" s="1">
        <v>7863</v>
      </c>
    </row>
    <row r="1029" spans="1:44" x14ac:dyDescent="0.2">
      <c r="A1029" s="1" t="s">
        <v>769</v>
      </c>
      <c r="B1029" s="1">
        <v>19270707</v>
      </c>
      <c r="C1029" s="1" t="s">
        <v>7420</v>
      </c>
      <c r="E1029" s="21">
        <v>142</v>
      </c>
      <c r="G1029" s="1" t="s">
        <v>7106</v>
      </c>
      <c r="H1029" s="1" t="s">
        <v>6797</v>
      </c>
      <c r="I1029" s="5">
        <v>39880</v>
      </c>
      <c r="J1029" s="18" t="s">
        <v>11</v>
      </c>
      <c r="K1029" s="1" t="s">
        <v>28</v>
      </c>
      <c r="L1029" s="1" t="s">
        <v>770</v>
      </c>
      <c r="M1029" s="5"/>
      <c r="N1029" s="5" t="s">
        <v>10</v>
      </c>
      <c r="O1029" s="5" t="s">
        <v>10</v>
      </c>
      <c r="P1029" s="1" t="s">
        <v>3787</v>
      </c>
      <c r="Q1029" s="1" t="s">
        <v>771</v>
      </c>
      <c r="R1029" s="2" t="s">
        <v>3912</v>
      </c>
      <c r="S1029" s="1" t="s">
        <v>6243</v>
      </c>
      <c r="T1029" s="1">
        <v>1807</v>
      </c>
      <c r="U1029" s="1">
        <v>607</v>
      </c>
      <c r="V1029" s="1">
        <v>607</v>
      </c>
      <c r="AH1029" s="1">
        <v>1200</v>
      </c>
      <c r="AI1029" s="1">
        <v>1200</v>
      </c>
    </row>
    <row r="1030" spans="1:44" x14ac:dyDescent="0.2">
      <c r="A1030" s="1" t="s">
        <v>3638</v>
      </c>
      <c r="B1030" s="1">
        <v>19278955</v>
      </c>
      <c r="C1030" s="1" t="s">
        <v>7420</v>
      </c>
      <c r="E1030" s="21">
        <v>31</v>
      </c>
      <c r="G1030" s="1" t="s">
        <v>773</v>
      </c>
      <c r="H1030" s="1" t="s">
        <v>7171</v>
      </c>
      <c r="I1030" s="5">
        <v>39882</v>
      </c>
      <c r="J1030" s="18" t="s">
        <v>11</v>
      </c>
      <c r="K1030" s="1" t="s">
        <v>455</v>
      </c>
      <c r="L1030" s="1" t="s">
        <v>772</v>
      </c>
      <c r="M1030" s="5"/>
      <c r="N1030" s="5" t="s">
        <v>10</v>
      </c>
      <c r="O1030" s="5" t="s">
        <v>10</v>
      </c>
      <c r="P1030" s="1" t="s">
        <v>3639</v>
      </c>
      <c r="Q1030" s="1" t="s">
        <v>3927</v>
      </c>
      <c r="R1030" s="2" t="s">
        <v>3928</v>
      </c>
      <c r="S1030" s="1" t="s">
        <v>6243</v>
      </c>
      <c r="T1030" s="1">
        <v>4884</v>
      </c>
      <c r="U1030" s="1">
        <v>1647</v>
      </c>
      <c r="V1030" s="1">
        <v>1647</v>
      </c>
      <c r="AH1030" s="1">
        <v>3237</v>
      </c>
      <c r="AI1030" s="1">
        <v>3237</v>
      </c>
    </row>
    <row r="1031" spans="1:44" x14ac:dyDescent="0.2">
      <c r="A1031" s="1" t="s">
        <v>517</v>
      </c>
      <c r="B1031" s="1">
        <v>19282985</v>
      </c>
      <c r="C1031" s="1" t="s">
        <v>7420</v>
      </c>
      <c r="E1031" s="21">
        <v>65</v>
      </c>
      <c r="G1031" s="1" t="s">
        <v>776</v>
      </c>
      <c r="H1031" s="1" t="s">
        <v>6674</v>
      </c>
      <c r="I1031" s="5">
        <v>39885</v>
      </c>
      <c r="J1031" s="18" t="s">
        <v>11</v>
      </c>
      <c r="K1031" s="1" t="s">
        <v>65</v>
      </c>
      <c r="L1031" s="1" t="s">
        <v>775</v>
      </c>
      <c r="M1031" s="5"/>
      <c r="N1031" s="5" t="s">
        <v>11</v>
      </c>
      <c r="O1031" s="5" t="s">
        <v>11</v>
      </c>
      <c r="P1031" s="1" t="s">
        <v>3608</v>
      </c>
      <c r="Q1031" s="1" t="s">
        <v>3931</v>
      </c>
      <c r="R1031" s="2" t="s">
        <v>4865</v>
      </c>
      <c r="S1031" s="1" t="s">
        <v>6244</v>
      </c>
      <c r="T1031" s="1">
        <v>3480</v>
      </c>
      <c r="U1031" s="1">
        <v>477</v>
      </c>
      <c r="V1031" s="1">
        <v>477</v>
      </c>
      <c r="AH1031" s="1">
        <v>3003</v>
      </c>
      <c r="AI1031" s="1">
        <v>1616</v>
      </c>
      <c r="AK1031" s="1">
        <v>1387</v>
      </c>
    </row>
    <row r="1032" spans="1:44" x14ac:dyDescent="0.2">
      <c r="A1032" s="1" t="s">
        <v>774</v>
      </c>
      <c r="B1032" s="1">
        <v>19286673</v>
      </c>
      <c r="C1032" s="1" t="s">
        <v>7420</v>
      </c>
      <c r="E1032" s="21">
        <v>46</v>
      </c>
      <c r="G1032" s="1" t="s">
        <v>218</v>
      </c>
      <c r="H1032" s="1" t="s">
        <v>7376</v>
      </c>
      <c r="I1032" s="5">
        <v>39885</v>
      </c>
      <c r="J1032" s="18" t="s">
        <v>10</v>
      </c>
      <c r="K1032" s="1" t="s">
        <v>103</v>
      </c>
      <c r="L1032" s="1" t="s">
        <v>2833</v>
      </c>
      <c r="M1032" s="5"/>
      <c r="N1032" s="5" t="s">
        <v>10</v>
      </c>
      <c r="O1032" s="5" t="s">
        <v>10</v>
      </c>
      <c r="P1032" s="1" t="s">
        <v>6267</v>
      </c>
      <c r="Q1032" s="1" t="s">
        <v>6268</v>
      </c>
      <c r="R1032" s="2" t="s">
        <v>6445</v>
      </c>
      <c r="S1032" s="1" t="s">
        <v>6242</v>
      </c>
      <c r="T1032" s="1">
        <v>4253</v>
      </c>
      <c r="U1032" s="1">
        <v>1234</v>
      </c>
      <c r="X1032" s="1">
        <v>1234</v>
      </c>
      <c r="AH1032" s="1">
        <v>3019</v>
      </c>
      <c r="AK1032" s="1">
        <v>3019</v>
      </c>
    </row>
    <row r="1033" spans="1:44" x14ac:dyDescent="0.2">
      <c r="A1033" s="1" t="s">
        <v>780</v>
      </c>
      <c r="B1033" s="1">
        <v>19287384</v>
      </c>
      <c r="C1033" s="1" t="s">
        <v>7420</v>
      </c>
      <c r="E1033" s="21">
        <v>10</v>
      </c>
      <c r="G1033" s="1" t="s">
        <v>782</v>
      </c>
      <c r="H1033" s="1" t="s">
        <v>6875</v>
      </c>
      <c r="I1033" s="5">
        <v>39887</v>
      </c>
      <c r="J1033" s="18" t="s">
        <v>11</v>
      </c>
      <c r="K1033" s="1" t="s">
        <v>28</v>
      </c>
      <c r="L1033" s="1" t="s">
        <v>781</v>
      </c>
      <c r="M1033" s="5"/>
      <c r="N1033" s="5" t="s">
        <v>10</v>
      </c>
      <c r="O1033" s="5" t="s">
        <v>10</v>
      </c>
      <c r="P1033" s="1" t="s">
        <v>3705</v>
      </c>
      <c r="Q1033" s="1" t="s">
        <v>33</v>
      </c>
      <c r="R1033" s="2" t="s">
        <v>4138</v>
      </c>
      <c r="S1033" s="1" t="s">
        <v>6243</v>
      </c>
      <c r="T1033" s="1">
        <v>3323</v>
      </c>
      <c r="U1033" s="1">
        <v>3323</v>
      </c>
      <c r="V1033" s="1">
        <v>3323</v>
      </c>
    </row>
    <row r="1034" spans="1:44" x14ac:dyDescent="0.2">
      <c r="A1034" s="1" t="s">
        <v>777</v>
      </c>
      <c r="B1034" s="1">
        <v>19287509</v>
      </c>
      <c r="C1034" s="1" t="s">
        <v>7420</v>
      </c>
      <c r="E1034" s="21">
        <v>26</v>
      </c>
      <c r="G1034" s="1" t="s">
        <v>779</v>
      </c>
      <c r="H1034" s="1" t="s">
        <v>7336</v>
      </c>
      <c r="I1034" s="5">
        <v>39886</v>
      </c>
      <c r="J1034" s="18" t="s">
        <v>11</v>
      </c>
      <c r="K1034" s="1" t="s">
        <v>474</v>
      </c>
      <c r="L1034" s="1" t="s">
        <v>778</v>
      </c>
      <c r="M1034" s="5"/>
      <c r="N1034" s="5" t="s">
        <v>10</v>
      </c>
      <c r="O1034" s="5" t="s">
        <v>10</v>
      </c>
      <c r="P1034" s="1" t="s">
        <v>3580</v>
      </c>
      <c r="Q1034" s="1" t="s">
        <v>3581</v>
      </c>
      <c r="R1034" s="2" t="s">
        <v>4705</v>
      </c>
      <c r="S1034" s="1" t="s">
        <v>6243</v>
      </c>
      <c r="T1034" s="1">
        <v>1380</v>
      </c>
      <c r="U1034" s="1">
        <v>531</v>
      </c>
      <c r="V1034" s="1">
        <v>531</v>
      </c>
      <c r="AH1034" s="1">
        <v>849</v>
      </c>
      <c r="AI1034" s="1">
        <v>849</v>
      </c>
    </row>
    <row r="1035" spans="1:44" x14ac:dyDescent="0.2">
      <c r="A1035" s="1" t="s">
        <v>785</v>
      </c>
      <c r="B1035" s="1">
        <v>19300482</v>
      </c>
      <c r="C1035" s="1" t="s">
        <v>7420</v>
      </c>
      <c r="E1035" s="21">
        <v>136</v>
      </c>
      <c r="G1035" s="1" t="s">
        <v>6738</v>
      </c>
      <c r="H1035" s="1" t="s">
        <v>7153</v>
      </c>
      <c r="I1035" s="5">
        <v>39892</v>
      </c>
      <c r="J1035" s="18" t="s">
        <v>11</v>
      </c>
      <c r="K1035" s="1" t="s">
        <v>65</v>
      </c>
      <c r="L1035" s="1" t="s">
        <v>786</v>
      </c>
      <c r="M1035" s="5" t="s">
        <v>3503</v>
      </c>
      <c r="N1035" s="5" t="s">
        <v>10</v>
      </c>
      <c r="O1035" s="5" t="s">
        <v>10</v>
      </c>
      <c r="P1035" s="1" t="s">
        <v>3504</v>
      </c>
      <c r="Q1035" s="1" t="s">
        <v>3890</v>
      </c>
      <c r="R1035" s="2" t="s">
        <v>4316</v>
      </c>
      <c r="S1035" s="1" t="s">
        <v>6389</v>
      </c>
      <c r="T1035" s="1">
        <v>5334</v>
      </c>
      <c r="U1035" s="1">
        <v>1633</v>
      </c>
      <c r="V1035" s="1">
        <v>1633</v>
      </c>
      <c r="AH1035" s="1">
        <v>3701</v>
      </c>
      <c r="AI1035" s="1">
        <v>2752</v>
      </c>
      <c r="AR1035" s="1">
        <v>949</v>
      </c>
    </row>
    <row r="1036" spans="1:44" x14ac:dyDescent="0.2">
      <c r="A1036" s="1" t="s">
        <v>787</v>
      </c>
      <c r="B1036" s="1">
        <v>19300499</v>
      </c>
      <c r="C1036" s="1" t="s">
        <v>7420</v>
      </c>
      <c r="E1036" s="21">
        <v>44</v>
      </c>
      <c r="G1036" s="1" t="s">
        <v>457</v>
      </c>
      <c r="H1036" s="1" t="s">
        <v>458</v>
      </c>
      <c r="I1036" s="5">
        <v>39892</v>
      </c>
      <c r="J1036" s="18" t="s">
        <v>11</v>
      </c>
      <c r="K1036" s="1" t="s">
        <v>65</v>
      </c>
      <c r="L1036" s="1" t="s">
        <v>788</v>
      </c>
      <c r="M1036" s="5"/>
      <c r="N1036" s="5" t="s">
        <v>10</v>
      </c>
      <c r="O1036" s="5" t="s">
        <v>10</v>
      </c>
      <c r="P1036" s="1" t="s">
        <v>3721</v>
      </c>
      <c r="Q1036" s="1" t="s">
        <v>6082</v>
      </c>
      <c r="R1036" s="2" t="s">
        <v>4513</v>
      </c>
      <c r="S1036" s="1" t="s">
        <v>6243</v>
      </c>
      <c r="T1036" s="1">
        <v>1641</v>
      </c>
      <c r="U1036" s="1">
        <v>1053</v>
      </c>
      <c r="V1036" s="1">
        <v>1053</v>
      </c>
      <c r="AH1036" s="1">
        <v>588</v>
      </c>
      <c r="AI1036" s="1">
        <v>588</v>
      </c>
    </row>
    <row r="1037" spans="1:44" x14ac:dyDescent="0.2">
      <c r="A1037" s="1" t="s">
        <v>262</v>
      </c>
      <c r="B1037" s="1">
        <v>19300500</v>
      </c>
      <c r="C1037" s="1" t="s">
        <v>7420</v>
      </c>
      <c r="E1037" s="21">
        <v>2487</v>
      </c>
      <c r="G1037" s="1" t="s">
        <v>792</v>
      </c>
      <c r="H1037" s="1" t="s">
        <v>7292</v>
      </c>
      <c r="I1037" s="5">
        <v>39892</v>
      </c>
      <c r="J1037" s="18" t="s">
        <v>11</v>
      </c>
      <c r="K1037" s="1" t="s">
        <v>65</v>
      </c>
      <c r="L1037" s="1" t="s">
        <v>791</v>
      </c>
      <c r="M1037" s="5"/>
      <c r="N1037" s="5" t="s">
        <v>10</v>
      </c>
      <c r="O1037" s="5" t="s">
        <v>10</v>
      </c>
      <c r="P1037" s="1" t="s">
        <v>3514</v>
      </c>
      <c r="Q1037" s="1" t="s">
        <v>3515</v>
      </c>
      <c r="R1037" s="2" t="s">
        <v>4962</v>
      </c>
      <c r="S1037" s="1" t="s">
        <v>6243</v>
      </c>
      <c r="T1037" s="1">
        <v>8526</v>
      </c>
      <c r="U1037" s="1">
        <v>7691</v>
      </c>
      <c r="V1037" s="1">
        <v>7691</v>
      </c>
      <c r="AH1037" s="1">
        <v>835</v>
      </c>
      <c r="AI1037" s="1">
        <v>835</v>
      </c>
    </row>
    <row r="1038" spans="1:44" x14ac:dyDescent="0.2">
      <c r="A1038" s="1" t="s">
        <v>681</v>
      </c>
      <c r="B1038" s="1">
        <v>19303062</v>
      </c>
      <c r="C1038" s="1" t="s">
        <v>7420</v>
      </c>
      <c r="E1038" s="21">
        <v>24</v>
      </c>
      <c r="G1038" s="1" t="s">
        <v>6778</v>
      </c>
      <c r="H1038" s="1" t="s">
        <v>7238</v>
      </c>
      <c r="I1038" s="5">
        <v>39890</v>
      </c>
      <c r="J1038" s="18" t="s">
        <v>11</v>
      </c>
      <c r="K1038" s="1" t="s">
        <v>16</v>
      </c>
      <c r="L1038" s="1" t="s">
        <v>783</v>
      </c>
      <c r="M1038" s="5"/>
      <c r="N1038" s="5" t="s">
        <v>10</v>
      </c>
      <c r="O1038" s="5" t="s">
        <v>10</v>
      </c>
      <c r="P1038" s="1" t="s">
        <v>3810</v>
      </c>
      <c r="Q1038" s="1" t="s">
        <v>3811</v>
      </c>
      <c r="R1038" s="2" t="s">
        <v>868</v>
      </c>
      <c r="S1038" s="1" t="s">
        <v>6389</v>
      </c>
      <c r="T1038" s="1">
        <v>3616</v>
      </c>
      <c r="U1038" s="1">
        <v>2930</v>
      </c>
      <c r="V1038" s="1">
        <v>2290</v>
      </c>
      <c r="AE1038" s="1">
        <v>640</v>
      </c>
      <c r="AH1038" s="1">
        <v>686</v>
      </c>
      <c r="AI1038" s="1">
        <v>686</v>
      </c>
    </row>
    <row r="1039" spans="1:44" x14ac:dyDescent="0.2">
      <c r="A1039" s="1" t="s">
        <v>789</v>
      </c>
      <c r="B1039" s="1">
        <v>19304780</v>
      </c>
      <c r="C1039" s="1" t="s">
        <v>7420</v>
      </c>
      <c r="E1039" s="21">
        <v>257</v>
      </c>
      <c r="G1039" s="1" t="s">
        <v>655</v>
      </c>
      <c r="H1039" s="1" t="s">
        <v>7222</v>
      </c>
      <c r="I1039" s="5">
        <v>39892</v>
      </c>
      <c r="J1039" s="18" t="s">
        <v>11</v>
      </c>
      <c r="K1039" s="1" t="s">
        <v>103</v>
      </c>
      <c r="L1039" s="1" t="s">
        <v>790</v>
      </c>
      <c r="M1039" s="5"/>
      <c r="N1039" s="5" t="s">
        <v>10</v>
      </c>
      <c r="O1039" s="5" t="s">
        <v>10</v>
      </c>
      <c r="P1039" s="1" t="s">
        <v>3680</v>
      </c>
      <c r="Q1039" s="1" t="s">
        <v>3921</v>
      </c>
      <c r="R1039" s="2" t="s">
        <v>4535</v>
      </c>
      <c r="S1039" s="1" t="s">
        <v>6243</v>
      </c>
      <c r="T1039" s="1">
        <v>3766</v>
      </c>
      <c r="U1039" s="1">
        <v>954</v>
      </c>
      <c r="V1039" s="1">
        <v>954</v>
      </c>
      <c r="AH1039" s="1">
        <v>2812</v>
      </c>
      <c r="AI1039" s="1">
        <v>2812</v>
      </c>
    </row>
    <row r="1040" spans="1:44" x14ac:dyDescent="0.2">
      <c r="A1040" s="1" t="s">
        <v>259</v>
      </c>
      <c r="B1040" s="1">
        <v>19305408</v>
      </c>
      <c r="C1040" s="1" t="s">
        <v>7420</v>
      </c>
      <c r="E1040" s="21">
        <v>16</v>
      </c>
      <c r="G1040" s="1" t="s">
        <v>6757</v>
      </c>
      <c r="H1040" s="1" t="s">
        <v>7252</v>
      </c>
      <c r="I1040" s="5">
        <v>39894</v>
      </c>
      <c r="J1040" s="18" t="s">
        <v>11</v>
      </c>
      <c r="K1040" s="1" t="s">
        <v>28</v>
      </c>
      <c r="L1040" s="1" t="s">
        <v>793</v>
      </c>
      <c r="M1040" s="5"/>
      <c r="N1040" s="5" t="s">
        <v>10</v>
      </c>
      <c r="O1040" s="5" t="s">
        <v>10</v>
      </c>
      <c r="P1040" s="1" t="s">
        <v>3744</v>
      </c>
      <c r="Q1040" s="1" t="s">
        <v>4520</v>
      </c>
      <c r="R1040" s="2" t="s">
        <v>6016</v>
      </c>
      <c r="S1040" s="1" t="s">
        <v>6243</v>
      </c>
      <c r="T1040" s="1">
        <v>29539</v>
      </c>
      <c r="U1040" s="1">
        <v>13685</v>
      </c>
      <c r="V1040" s="1">
        <v>13685</v>
      </c>
      <c r="AH1040" s="1">
        <v>15854</v>
      </c>
      <c r="AI1040" s="1">
        <v>15854</v>
      </c>
    </row>
    <row r="1041" spans="1:37" x14ac:dyDescent="0.2">
      <c r="A1041" s="1" t="s">
        <v>794</v>
      </c>
      <c r="B1041" s="1">
        <v>19305409</v>
      </c>
      <c r="C1041" s="1" t="s">
        <v>7420</v>
      </c>
      <c r="E1041" s="21">
        <v>79</v>
      </c>
      <c r="G1041" s="1" t="s">
        <v>6757</v>
      </c>
      <c r="H1041" s="1" t="s">
        <v>7252</v>
      </c>
      <c r="I1041" s="5">
        <v>39894</v>
      </c>
      <c r="J1041" s="18" t="s">
        <v>11</v>
      </c>
      <c r="K1041" s="1" t="s">
        <v>28</v>
      </c>
      <c r="L1041" s="1" t="s">
        <v>795</v>
      </c>
      <c r="M1041" s="5"/>
      <c r="N1041" s="5" t="s">
        <v>10</v>
      </c>
      <c r="O1041" s="5" t="s">
        <v>10</v>
      </c>
      <c r="P1041" s="1" t="s">
        <v>3754</v>
      </c>
      <c r="Q1041" s="1" t="s">
        <v>6269</v>
      </c>
      <c r="R1041" s="2" t="s">
        <v>6476</v>
      </c>
      <c r="S1041" s="1" t="s">
        <v>6243</v>
      </c>
      <c r="T1041" s="1">
        <v>29444</v>
      </c>
      <c r="U1041" s="1">
        <v>15842</v>
      </c>
      <c r="V1041" s="1">
        <v>15842</v>
      </c>
      <c r="AH1041" s="1">
        <v>13602</v>
      </c>
      <c r="AI1041" s="1">
        <v>13602</v>
      </c>
    </row>
    <row r="1042" spans="1:37" x14ac:dyDescent="0.2">
      <c r="A1042" s="1" t="s">
        <v>796</v>
      </c>
      <c r="B1042" s="1">
        <v>19330027</v>
      </c>
      <c r="C1042" s="1" t="s">
        <v>7420</v>
      </c>
      <c r="E1042" s="21">
        <v>31</v>
      </c>
      <c r="G1042" s="1" t="s">
        <v>119</v>
      </c>
      <c r="H1042" s="1" t="s">
        <v>6675</v>
      </c>
      <c r="I1042" s="5">
        <v>39901</v>
      </c>
      <c r="J1042" s="18" t="s">
        <v>10</v>
      </c>
      <c r="K1042" s="1" t="s">
        <v>28</v>
      </c>
      <c r="L1042" s="1" t="s">
        <v>2834</v>
      </c>
      <c r="M1042" s="5"/>
      <c r="N1042" s="5" t="s">
        <v>11</v>
      </c>
      <c r="O1042" s="5" t="s">
        <v>11</v>
      </c>
      <c r="P1042" s="1" t="s">
        <v>5268</v>
      </c>
      <c r="Q1042" s="1" t="s">
        <v>3361</v>
      </c>
      <c r="R1042" s="2" t="s">
        <v>5761</v>
      </c>
      <c r="S1042" s="1" t="s">
        <v>6243</v>
      </c>
      <c r="T1042" s="1">
        <v>85741</v>
      </c>
      <c r="U1042" s="1">
        <v>754</v>
      </c>
      <c r="V1042" s="1">
        <v>754</v>
      </c>
      <c r="AH1042" s="1">
        <v>84987</v>
      </c>
      <c r="AI1042" s="1">
        <v>84987</v>
      </c>
    </row>
    <row r="1043" spans="1:37" x14ac:dyDescent="0.2">
      <c r="A1043" s="1" t="s">
        <v>357</v>
      </c>
      <c r="B1043" s="1">
        <v>19330030</v>
      </c>
      <c r="C1043" s="1" t="s">
        <v>7420</v>
      </c>
      <c r="E1043" s="21">
        <v>11</v>
      </c>
      <c r="G1043" s="1" t="s">
        <v>119</v>
      </c>
      <c r="H1043" s="1" t="s">
        <v>6675</v>
      </c>
      <c r="I1043" s="5">
        <v>39901</v>
      </c>
      <c r="J1043" s="18" t="s">
        <v>11</v>
      </c>
      <c r="K1043" s="1" t="s">
        <v>28</v>
      </c>
      <c r="L1043" s="1" t="s">
        <v>797</v>
      </c>
      <c r="M1043" s="5"/>
      <c r="N1043" s="5" t="s">
        <v>11</v>
      </c>
      <c r="O1043" s="5" t="s">
        <v>11</v>
      </c>
      <c r="P1043" s="1" t="s">
        <v>3725</v>
      </c>
      <c r="Q1043" s="1" t="s">
        <v>4867</v>
      </c>
      <c r="R1043" s="2" t="s">
        <v>4781</v>
      </c>
      <c r="S1043" s="1" t="s">
        <v>6243</v>
      </c>
      <c r="T1043" s="1">
        <v>20569</v>
      </c>
      <c r="U1043" s="1">
        <v>2287</v>
      </c>
      <c r="V1043" s="1">
        <v>2287</v>
      </c>
      <c r="AH1043" s="1">
        <v>18282</v>
      </c>
      <c r="AI1043" s="1">
        <v>18282</v>
      </c>
    </row>
    <row r="1044" spans="1:37" x14ac:dyDescent="0.2">
      <c r="A1044" s="1" t="s">
        <v>798</v>
      </c>
      <c r="B1044" s="1">
        <v>19335888</v>
      </c>
      <c r="C1044" s="1" t="s">
        <v>7420</v>
      </c>
      <c r="D1044" s="1" t="s">
        <v>7411</v>
      </c>
      <c r="E1044" s="21">
        <v>3</v>
      </c>
      <c r="G1044" s="1" t="s">
        <v>799</v>
      </c>
      <c r="H1044" s="1" t="s">
        <v>7052</v>
      </c>
      <c r="I1044" s="5">
        <v>39903</v>
      </c>
      <c r="J1044" s="18" t="s">
        <v>10</v>
      </c>
      <c r="K1044" s="1" t="s">
        <v>2835</v>
      </c>
      <c r="L1044" s="1" t="s">
        <v>2836</v>
      </c>
      <c r="M1044" s="5"/>
      <c r="N1044" s="5" t="s">
        <v>10</v>
      </c>
      <c r="O1044" s="5" t="s">
        <v>10</v>
      </c>
      <c r="P1044" s="1" t="s">
        <v>3894</v>
      </c>
      <c r="Q1044" s="1" t="s">
        <v>6642</v>
      </c>
      <c r="R1044" s="2" t="s">
        <v>4670</v>
      </c>
      <c r="S1044" s="1" t="s">
        <v>6242</v>
      </c>
      <c r="T1044" s="1">
        <v>3367</v>
      </c>
      <c r="U1044" s="1">
        <v>1320</v>
      </c>
      <c r="X1044" s="1">
        <v>1320</v>
      </c>
      <c r="AH1044" s="1">
        <v>2047</v>
      </c>
      <c r="AK1044" s="1">
        <v>2047</v>
      </c>
    </row>
    <row r="1045" spans="1:37" x14ac:dyDescent="0.2">
      <c r="A1045" s="1" t="s">
        <v>810</v>
      </c>
      <c r="B1045" s="1">
        <v>19340012</v>
      </c>
      <c r="C1045" s="1" t="s">
        <v>7420</v>
      </c>
      <c r="E1045" s="21">
        <v>61</v>
      </c>
      <c r="G1045" s="1" t="s">
        <v>813</v>
      </c>
      <c r="H1045" s="1" t="s">
        <v>7017</v>
      </c>
      <c r="I1045" s="5">
        <v>39905</v>
      </c>
      <c r="J1045" s="18" t="s">
        <v>11</v>
      </c>
      <c r="K1045" s="1" t="s">
        <v>811</v>
      </c>
      <c r="L1045" s="1" t="s">
        <v>812</v>
      </c>
      <c r="M1045" s="5"/>
      <c r="N1045" s="5" t="s">
        <v>11</v>
      </c>
      <c r="O1045" s="5" t="s">
        <v>10</v>
      </c>
      <c r="P1045" s="1" t="s">
        <v>3789</v>
      </c>
      <c r="Q1045" s="1" t="s">
        <v>3790</v>
      </c>
      <c r="R1045" s="2" t="s">
        <v>4781</v>
      </c>
      <c r="S1045" s="1" t="s">
        <v>6243</v>
      </c>
      <c r="T1045" s="1">
        <v>3157</v>
      </c>
      <c r="U1045" s="1">
        <v>2287</v>
      </c>
      <c r="V1045" s="1">
        <v>2287</v>
      </c>
      <c r="AH1045" s="1">
        <v>870</v>
      </c>
      <c r="AI1045" s="1">
        <v>870</v>
      </c>
    </row>
    <row r="1046" spans="1:37" x14ac:dyDescent="0.2">
      <c r="A1046" s="1" t="s">
        <v>743</v>
      </c>
      <c r="B1046" s="1">
        <v>19343178</v>
      </c>
      <c r="C1046" s="1" t="s">
        <v>7420</v>
      </c>
      <c r="E1046" s="21">
        <v>164</v>
      </c>
      <c r="G1046" s="1" t="s">
        <v>197</v>
      </c>
      <c r="H1046" s="1" t="s">
        <v>7270</v>
      </c>
      <c r="I1046" s="5">
        <v>39906</v>
      </c>
      <c r="J1046" s="18" t="s">
        <v>11</v>
      </c>
      <c r="K1046" s="1" t="s">
        <v>65</v>
      </c>
      <c r="L1046" s="1" t="s">
        <v>814</v>
      </c>
      <c r="M1046" s="5"/>
      <c r="N1046" s="5" t="s">
        <v>10</v>
      </c>
      <c r="O1046" s="5" t="s">
        <v>10</v>
      </c>
      <c r="P1046" s="1" t="s">
        <v>6202</v>
      </c>
      <c r="Q1046" s="1" t="s">
        <v>6087</v>
      </c>
      <c r="R1046" s="2" t="s">
        <v>4868</v>
      </c>
      <c r="S1046" s="1" t="s">
        <v>6243</v>
      </c>
      <c r="T1046" s="1">
        <v>19798</v>
      </c>
      <c r="U1046" s="1">
        <v>12611</v>
      </c>
      <c r="V1046" s="1">
        <v>12611</v>
      </c>
      <c r="AH1046" s="1">
        <v>7187</v>
      </c>
      <c r="AI1046" s="1">
        <v>7187</v>
      </c>
    </row>
    <row r="1047" spans="1:37" x14ac:dyDescent="0.2">
      <c r="A1047" s="1" t="s">
        <v>818</v>
      </c>
      <c r="B1047" s="1">
        <v>19349983</v>
      </c>
      <c r="C1047" s="1" t="s">
        <v>7420</v>
      </c>
      <c r="E1047" s="21">
        <v>12</v>
      </c>
      <c r="G1047" s="1" t="s">
        <v>821</v>
      </c>
      <c r="H1047" s="1" t="s">
        <v>7121</v>
      </c>
      <c r="I1047" s="5">
        <v>39909</v>
      </c>
      <c r="J1047" s="18" t="s">
        <v>11</v>
      </c>
      <c r="K1047" s="1" t="s">
        <v>28</v>
      </c>
      <c r="L1047" s="1" t="s">
        <v>819</v>
      </c>
      <c r="M1047" s="5"/>
      <c r="N1047" s="5" t="s">
        <v>10</v>
      </c>
      <c r="O1047" s="5" t="s">
        <v>10</v>
      </c>
      <c r="P1047" s="1" t="s">
        <v>820</v>
      </c>
      <c r="Q1047" s="1" t="s">
        <v>4186</v>
      </c>
      <c r="R1047" s="2" t="s">
        <v>4900</v>
      </c>
      <c r="S1047" s="1" t="s">
        <v>6242</v>
      </c>
      <c r="T1047" s="1">
        <v>6387</v>
      </c>
      <c r="U1047" s="1">
        <v>1113</v>
      </c>
      <c r="X1047" s="1">
        <v>1113</v>
      </c>
      <c r="AH1047" s="1">
        <v>5274</v>
      </c>
      <c r="AK1047" s="1">
        <v>5274</v>
      </c>
    </row>
    <row r="1048" spans="1:37" x14ac:dyDescent="0.2">
      <c r="A1048" s="1" t="s">
        <v>822</v>
      </c>
      <c r="B1048" s="1">
        <v>19349984</v>
      </c>
      <c r="C1048" s="1" t="s">
        <v>7420</v>
      </c>
      <c r="E1048" s="21">
        <v>55</v>
      </c>
      <c r="G1048" s="1" t="s">
        <v>824</v>
      </c>
      <c r="H1048" s="1" t="s">
        <v>137</v>
      </c>
      <c r="I1048" s="5">
        <v>39909</v>
      </c>
      <c r="J1048" s="18" t="s">
        <v>11</v>
      </c>
      <c r="K1048" s="1" t="s">
        <v>28</v>
      </c>
      <c r="L1048" s="1" t="s">
        <v>823</v>
      </c>
      <c r="M1048" s="5"/>
      <c r="N1048" s="5" t="s">
        <v>10</v>
      </c>
      <c r="O1048" s="5" t="s">
        <v>10</v>
      </c>
      <c r="P1048" s="1" t="s">
        <v>3891</v>
      </c>
      <c r="Q1048" s="1" t="s">
        <v>4319</v>
      </c>
      <c r="R1048" s="2" t="s">
        <v>4162</v>
      </c>
      <c r="S1048" s="1" t="s">
        <v>6243</v>
      </c>
      <c r="T1048" s="1">
        <v>9605</v>
      </c>
      <c r="U1048" s="1">
        <v>3011</v>
      </c>
      <c r="V1048" s="1">
        <v>3011</v>
      </c>
      <c r="AH1048" s="1">
        <v>6594</v>
      </c>
      <c r="AI1048" s="1">
        <v>6594</v>
      </c>
    </row>
    <row r="1049" spans="1:37" x14ac:dyDescent="0.2">
      <c r="A1049" s="1" t="s">
        <v>825</v>
      </c>
      <c r="B1049" s="1">
        <v>19359265</v>
      </c>
      <c r="C1049" s="1" t="s">
        <v>7420</v>
      </c>
      <c r="E1049" s="21">
        <v>41</v>
      </c>
      <c r="G1049" s="1" t="s">
        <v>827</v>
      </c>
      <c r="H1049" s="1" t="s">
        <v>7324</v>
      </c>
      <c r="I1049" s="5">
        <v>39911</v>
      </c>
      <c r="J1049" s="18" t="s">
        <v>11</v>
      </c>
      <c r="K1049" s="1" t="s">
        <v>541</v>
      </c>
      <c r="L1049" s="1" t="s">
        <v>826</v>
      </c>
      <c r="M1049" s="5"/>
      <c r="N1049" s="5" t="s">
        <v>11</v>
      </c>
      <c r="O1049" s="5" t="s">
        <v>10</v>
      </c>
      <c r="P1049" s="1" t="s">
        <v>3757</v>
      </c>
      <c r="Q1049" s="1" t="s">
        <v>3904</v>
      </c>
      <c r="R1049" s="2" t="s">
        <v>4406</v>
      </c>
      <c r="S1049" s="1" t="s">
        <v>6243</v>
      </c>
      <c r="T1049" s="1">
        <v>2790</v>
      </c>
      <c r="U1049" s="1">
        <v>1625</v>
      </c>
      <c r="V1049" s="1">
        <v>1625</v>
      </c>
      <c r="AH1049" s="1">
        <v>1165</v>
      </c>
      <c r="AI1049" s="1">
        <v>1165</v>
      </c>
    </row>
    <row r="1050" spans="1:37" x14ac:dyDescent="0.2">
      <c r="A1050" s="1" t="s">
        <v>829</v>
      </c>
      <c r="B1050" s="1">
        <v>19359809</v>
      </c>
      <c r="C1050" s="1" t="s">
        <v>7420</v>
      </c>
      <c r="E1050" s="21">
        <v>36</v>
      </c>
      <c r="G1050" s="1" t="s">
        <v>833</v>
      </c>
      <c r="H1050" s="1" t="s">
        <v>7265</v>
      </c>
      <c r="I1050" s="5">
        <v>39913</v>
      </c>
      <c r="J1050" s="18" t="s">
        <v>11</v>
      </c>
      <c r="K1050" s="1" t="s">
        <v>830</v>
      </c>
      <c r="L1050" s="1" t="s">
        <v>831</v>
      </c>
      <c r="M1050" s="5"/>
      <c r="N1050" s="5" t="s">
        <v>10</v>
      </c>
      <c r="O1050" s="5" t="s">
        <v>10</v>
      </c>
      <c r="P1050" s="1" t="s">
        <v>832</v>
      </c>
      <c r="Q1050" s="1" t="s">
        <v>4116</v>
      </c>
      <c r="R1050" s="2" t="s">
        <v>4858</v>
      </c>
      <c r="S1050" s="1" t="s">
        <v>6242</v>
      </c>
      <c r="T1050" s="1">
        <v>2710</v>
      </c>
      <c r="U1050" s="1">
        <v>900</v>
      </c>
      <c r="X1050" s="1">
        <v>900</v>
      </c>
      <c r="AH1050" s="1">
        <v>1810</v>
      </c>
      <c r="AK1050" s="1">
        <v>1810</v>
      </c>
    </row>
    <row r="1051" spans="1:37" x14ac:dyDescent="0.2">
      <c r="A1051" s="1" t="s">
        <v>284</v>
      </c>
      <c r="B1051" s="1">
        <v>19361613</v>
      </c>
      <c r="C1051" s="1" t="s">
        <v>7420</v>
      </c>
      <c r="E1051" s="21">
        <v>2456</v>
      </c>
      <c r="F1051" s="17">
        <v>1</v>
      </c>
      <c r="G1051" s="1" t="s">
        <v>828</v>
      </c>
      <c r="H1051" s="1" t="s">
        <v>7354</v>
      </c>
      <c r="I1051" s="5">
        <v>39912</v>
      </c>
      <c r="J1051" s="18" t="s">
        <v>10</v>
      </c>
      <c r="K1051" s="1" t="s">
        <v>16</v>
      </c>
      <c r="L1051" s="1" t="s">
        <v>2837</v>
      </c>
      <c r="M1051" s="5"/>
      <c r="N1051" s="5" t="s">
        <v>10</v>
      </c>
      <c r="O1051" s="5" t="s">
        <v>10</v>
      </c>
      <c r="P1051" s="2" t="s">
        <v>5151</v>
      </c>
      <c r="Q1051" s="1" t="s">
        <v>33</v>
      </c>
      <c r="R1051" s="10" t="s">
        <v>5851</v>
      </c>
      <c r="S1051" s="1" t="s">
        <v>6243</v>
      </c>
      <c r="T1051" s="1">
        <v>364</v>
      </c>
      <c r="U1051" s="1">
        <v>364</v>
      </c>
      <c r="V1051" s="1">
        <v>364</v>
      </c>
    </row>
    <row r="1052" spans="1:37" x14ac:dyDescent="0.2">
      <c r="A1052" s="1" t="s">
        <v>416</v>
      </c>
      <c r="B1052" s="1">
        <v>19367585</v>
      </c>
      <c r="C1052" s="1" t="s">
        <v>7420</v>
      </c>
      <c r="E1052" s="21">
        <v>16</v>
      </c>
      <c r="G1052" s="1" t="s">
        <v>835</v>
      </c>
      <c r="H1052" s="1" t="s">
        <v>236</v>
      </c>
      <c r="I1052" s="5">
        <v>39917</v>
      </c>
      <c r="J1052" s="18" t="s">
        <v>11</v>
      </c>
      <c r="K1052" s="1" t="s">
        <v>43</v>
      </c>
      <c r="L1052" s="1" t="s">
        <v>834</v>
      </c>
      <c r="M1052" s="5"/>
      <c r="N1052" s="5" t="s">
        <v>10</v>
      </c>
      <c r="O1052" s="5" t="s">
        <v>10</v>
      </c>
      <c r="P1052" s="1" t="s">
        <v>3485</v>
      </c>
      <c r="Q1052" s="1" t="s">
        <v>33</v>
      </c>
      <c r="R1052" s="2" t="s">
        <v>4876</v>
      </c>
      <c r="S1052" s="1" t="s">
        <v>6243</v>
      </c>
      <c r="T1052" s="1">
        <v>259</v>
      </c>
      <c r="U1052" s="1">
        <v>259</v>
      </c>
      <c r="V1052" s="1">
        <v>259</v>
      </c>
    </row>
    <row r="1053" spans="1:37" x14ac:dyDescent="0.2">
      <c r="A1053" s="1" t="s">
        <v>836</v>
      </c>
      <c r="B1053" s="1">
        <v>19369658</v>
      </c>
      <c r="C1053" s="1" t="s">
        <v>7420</v>
      </c>
      <c r="E1053" s="21">
        <v>605</v>
      </c>
      <c r="G1053" s="1" t="s">
        <v>50</v>
      </c>
      <c r="H1053" s="1" t="s">
        <v>7170</v>
      </c>
      <c r="I1053" s="5">
        <v>39918</v>
      </c>
      <c r="J1053" s="18" t="s">
        <v>11</v>
      </c>
      <c r="K1053" s="1" t="s">
        <v>157</v>
      </c>
      <c r="L1053" s="1" t="s">
        <v>837</v>
      </c>
      <c r="M1053" s="5"/>
      <c r="N1053" s="5" t="s">
        <v>10</v>
      </c>
      <c r="O1053" s="5" t="s">
        <v>10</v>
      </c>
      <c r="P1053" s="1" t="s">
        <v>6162</v>
      </c>
      <c r="Q1053" s="1" t="s">
        <v>6163</v>
      </c>
      <c r="R1053" s="2" t="s">
        <v>4438</v>
      </c>
      <c r="S1053" s="1" t="s">
        <v>6244</v>
      </c>
      <c r="T1053" s="1">
        <v>26871</v>
      </c>
      <c r="U1053" s="1">
        <v>19602</v>
      </c>
      <c r="V1053" s="1">
        <v>19602</v>
      </c>
      <c r="AH1053" s="1">
        <v>7269</v>
      </c>
      <c r="AI1053" s="1">
        <v>4265</v>
      </c>
      <c r="AJ1053" s="1">
        <v>3004</v>
      </c>
    </row>
    <row r="1054" spans="1:37" x14ac:dyDescent="0.2">
      <c r="A1054" s="1" t="s">
        <v>747</v>
      </c>
      <c r="B1054" s="1">
        <v>19389651</v>
      </c>
      <c r="C1054" s="1" t="s">
        <v>7420</v>
      </c>
      <c r="E1054" s="21">
        <v>80</v>
      </c>
      <c r="G1054" s="1" t="s">
        <v>6811</v>
      </c>
      <c r="H1054" s="1" t="s">
        <v>7252</v>
      </c>
      <c r="I1054" s="5">
        <v>39859</v>
      </c>
      <c r="J1054" s="18" t="s">
        <v>11</v>
      </c>
      <c r="K1054" s="1" t="s">
        <v>748</v>
      </c>
      <c r="L1054" s="1" t="s">
        <v>749</v>
      </c>
      <c r="M1054" s="5"/>
      <c r="N1054" s="5" t="s">
        <v>10</v>
      </c>
      <c r="O1054" s="5" t="s">
        <v>10</v>
      </c>
      <c r="P1054" s="1" t="s">
        <v>3983</v>
      </c>
      <c r="Q1054" s="1" t="s">
        <v>33</v>
      </c>
      <c r="R1054" s="2" t="s">
        <v>4809</v>
      </c>
      <c r="S1054" s="1" t="s">
        <v>6433</v>
      </c>
      <c r="T1054" s="1">
        <v>1262</v>
      </c>
      <c r="U1054" s="1">
        <v>1262</v>
      </c>
      <c r="AB1054" s="1">
        <v>1262</v>
      </c>
    </row>
    <row r="1055" spans="1:37" x14ac:dyDescent="0.2">
      <c r="A1055" s="1" t="s">
        <v>784</v>
      </c>
      <c r="B1055" s="1">
        <v>19389676</v>
      </c>
      <c r="C1055" s="1" t="s">
        <v>7420</v>
      </c>
      <c r="E1055" s="21">
        <v>118</v>
      </c>
      <c r="G1055" s="1" t="s">
        <v>6710</v>
      </c>
      <c r="H1055" s="1" t="s">
        <v>7215</v>
      </c>
      <c r="I1055" s="5">
        <v>39891</v>
      </c>
      <c r="J1055" s="18" t="s">
        <v>10</v>
      </c>
      <c r="K1055" s="1" t="s">
        <v>816</v>
      </c>
      <c r="L1055" s="1" t="s">
        <v>2838</v>
      </c>
      <c r="M1055" s="5"/>
      <c r="N1055" s="5" t="s">
        <v>10</v>
      </c>
      <c r="O1055" s="5" t="s">
        <v>10</v>
      </c>
      <c r="P1055" s="1" t="s">
        <v>3843</v>
      </c>
      <c r="Q1055" s="1" t="s">
        <v>33</v>
      </c>
      <c r="R1055" s="2" t="s">
        <v>3901</v>
      </c>
      <c r="S1055" s="1" t="s">
        <v>6243</v>
      </c>
      <c r="T1055" s="1">
        <v>1345</v>
      </c>
      <c r="U1055" s="1">
        <v>1345</v>
      </c>
      <c r="V1055" s="1">
        <v>1345</v>
      </c>
    </row>
    <row r="1056" spans="1:37" x14ac:dyDescent="0.2">
      <c r="A1056" s="1" t="s">
        <v>838</v>
      </c>
      <c r="B1056" s="1">
        <v>19396169</v>
      </c>
      <c r="C1056" s="1" t="s">
        <v>7420</v>
      </c>
      <c r="E1056" s="21">
        <v>118</v>
      </c>
      <c r="G1056" s="1" t="s">
        <v>6927</v>
      </c>
      <c r="H1056" s="1" t="s">
        <v>7226</v>
      </c>
      <c r="I1056" s="5">
        <v>39929</v>
      </c>
      <c r="J1056" s="18" t="s">
        <v>11</v>
      </c>
      <c r="K1056" s="1" t="s">
        <v>28</v>
      </c>
      <c r="L1056" s="1" t="s">
        <v>839</v>
      </c>
      <c r="M1056" s="5"/>
      <c r="N1056" s="5" t="s">
        <v>10</v>
      </c>
      <c r="O1056" s="5" t="s">
        <v>10</v>
      </c>
      <c r="P1056" s="1" t="s">
        <v>4855</v>
      </c>
      <c r="Q1056" s="1" t="s">
        <v>4771</v>
      </c>
      <c r="R1056" s="2" t="s">
        <v>4689</v>
      </c>
      <c r="S1056" s="1" t="s">
        <v>6242</v>
      </c>
      <c r="T1056" s="1">
        <v>16703</v>
      </c>
      <c r="U1056" s="1">
        <v>8842</v>
      </c>
      <c r="X1056" s="1">
        <v>8842</v>
      </c>
      <c r="AH1056" s="1">
        <v>7861</v>
      </c>
      <c r="AK1056" s="1">
        <v>7861</v>
      </c>
    </row>
    <row r="1057" spans="1:44" x14ac:dyDescent="0.2">
      <c r="A1057" s="1" t="s">
        <v>787</v>
      </c>
      <c r="B1057" s="1">
        <v>19401414</v>
      </c>
      <c r="C1057" s="1" t="s">
        <v>7420</v>
      </c>
      <c r="E1057" s="21">
        <v>50</v>
      </c>
      <c r="G1057" s="1" t="s">
        <v>61</v>
      </c>
      <c r="H1057" s="1" t="s">
        <v>7396</v>
      </c>
      <c r="I1057" s="5">
        <v>39932</v>
      </c>
      <c r="J1057" s="18" t="s">
        <v>11</v>
      </c>
      <c r="K1057" s="1" t="s">
        <v>90</v>
      </c>
      <c r="L1057" s="1" t="s">
        <v>843</v>
      </c>
      <c r="M1057" s="5"/>
      <c r="N1057" s="5" t="s">
        <v>10</v>
      </c>
      <c r="O1057" s="5" t="s">
        <v>10</v>
      </c>
      <c r="P1057" s="1" t="s">
        <v>844</v>
      </c>
      <c r="Q1057" s="1" t="s">
        <v>4757</v>
      </c>
      <c r="R1057" s="2" t="s">
        <v>4247</v>
      </c>
      <c r="S1057" s="1" t="s">
        <v>6242</v>
      </c>
      <c r="T1057" s="1">
        <v>14021</v>
      </c>
      <c r="U1057" s="1">
        <v>1022</v>
      </c>
      <c r="X1057" s="1">
        <v>1022</v>
      </c>
      <c r="AH1057" s="1">
        <v>12999</v>
      </c>
      <c r="AK1057" s="1">
        <v>12999</v>
      </c>
    </row>
    <row r="1058" spans="1:44" x14ac:dyDescent="0.2">
      <c r="A1058" s="1" t="s">
        <v>815</v>
      </c>
      <c r="B1058" s="1">
        <v>19403135</v>
      </c>
      <c r="C1058" s="1" t="s">
        <v>7420</v>
      </c>
      <c r="E1058" s="21">
        <v>15</v>
      </c>
      <c r="G1058" s="1" t="s">
        <v>64</v>
      </c>
      <c r="H1058" s="1" t="s">
        <v>7170</v>
      </c>
      <c r="I1058" s="5">
        <v>39908</v>
      </c>
      <c r="J1058" s="18" t="s">
        <v>11</v>
      </c>
      <c r="K1058" s="1" t="s">
        <v>816</v>
      </c>
      <c r="L1058" s="1" t="s">
        <v>817</v>
      </c>
      <c r="M1058" s="5"/>
      <c r="N1058" s="5" t="s">
        <v>10</v>
      </c>
      <c r="O1058" s="5" t="s">
        <v>10</v>
      </c>
      <c r="P1058" s="1" t="s">
        <v>3738</v>
      </c>
      <c r="Q1058" s="1" t="s">
        <v>4519</v>
      </c>
      <c r="R1058" s="2" t="s">
        <v>4948</v>
      </c>
      <c r="S1058" s="1" t="s">
        <v>6242</v>
      </c>
      <c r="T1058" s="1">
        <v>6247</v>
      </c>
      <c r="U1058" s="1">
        <v>266</v>
      </c>
      <c r="X1058" s="1">
        <v>266</v>
      </c>
      <c r="AH1058" s="1">
        <v>5981</v>
      </c>
      <c r="AK1058" s="1">
        <v>5981</v>
      </c>
    </row>
    <row r="1059" spans="1:44" x14ac:dyDescent="0.2">
      <c r="A1059" s="1" t="s">
        <v>840</v>
      </c>
      <c r="B1059" s="1">
        <v>19404256</v>
      </c>
      <c r="C1059" s="1" t="s">
        <v>7420</v>
      </c>
      <c r="E1059" s="21">
        <v>166</v>
      </c>
      <c r="G1059" s="1" t="s">
        <v>842</v>
      </c>
      <c r="H1059" s="1" t="s">
        <v>318</v>
      </c>
      <c r="I1059" s="5">
        <v>39931</v>
      </c>
      <c r="J1059" s="18" t="s">
        <v>11</v>
      </c>
      <c r="K1059" s="1" t="s">
        <v>58</v>
      </c>
      <c r="L1059" s="1" t="s">
        <v>841</v>
      </c>
      <c r="M1059" s="5"/>
      <c r="N1059" s="5" t="s">
        <v>10</v>
      </c>
      <c r="O1059" s="5" t="s">
        <v>10</v>
      </c>
      <c r="P1059" s="1" t="s">
        <v>3889</v>
      </c>
      <c r="Q1059" s="1" t="s">
        <v>3919</v>
      </c>
      <c r="R1059" s="2" t="s">
        <v>4413</v>
      </c>
      <c r="S1059" s="1" t="s">
        <v>6243</v>
      </c>
      <c r="T1059" s="1">
        <v>12834</v>
      </c>
      <c r="U1059" s="1">
        <v>10796</v>
      </c>
      <c r="V1059" s="1">
        <v>10796</v>
      </c>
      <c r="AH1059" s="1">
        <v>2038</v>
      </c>
      <c r="AI1059" s="1">
        <v>2038</v>
      </c>
    </row>
    <row r="1060" spans="1:44" x14ac:dyDescent="0.2">
      <c r="A1060" s="1" t="s">
        <v>847</v>
      </c>
      <c r="B1060" s="1">
        <v>19412175</v>
      </c>
      <c r="C1060" s="1" t="s">
        <v>7420</v>
      </c>
      <c r="E1060" s="21">
        <v>26</v>
      </c>
      <c r="G1060" s="1" t="s">
        <v>435</v>
      </c>
      <c r="H1060" s="1" t="s">
        <v>436</v>
      </c>
      <c r="I1060" s="5">
        <v>39936</v>
      </c>
      <c r="J1060" s="18" t="s">
        <v>11</v>
      </c>
      <c r="K1060" s="1" t="s">
        <v>28</v>
      </c>
      <c r="L1060" s="1" t="s">
        <v>848</v>
      </c>
      <c r="M1060" s="5"/>
      <c r="N1060" s="5" t="s">
        <v>10</v>
      </c>
      <c r="O1060" s="5" t="s">
        <v>10</v>
      </c>
      <c r="P1060" s="1" t="s">
        <v>3659</v>
      </c>
      <c r="Q1060" s="1" t="s">
        <v>3925</v>
      </c>
      <c r="R1060" s="2" t="s">
        <v>4143</v>
      </c>
      <c r="S1060" s="1" t="s">
        <v>6243</v>
      </c>
      <c r="T1060" s="1">
        <v>3807</v>
      </c>
      <c r="U1060" s="1">
        <v>2440</v>
      </c>
      <c r="V1060" s="1">
        <v>2440</v>
      </c>
      <c r="AH1060" s="1">
        <v>1367</v>
      </c>
      <c r="AI1060" s="1">
        <v>1367</v>
      </c>
    </row>
    <row r="1061" spans="1:44" x14ac:dyDescent="0.2">
      <c r="A1061" s="1" t="s">
        <v>845</v>
      </c>
      <c r="B1061" s="1">
        <v>19412176</v>
      </c>
      <c r="C1061" s="1" t="s">
        <v>7420</v>
      </c>
      <c r="E1061" s="21">
        <v>9</v>
      </c>
      <c r="G1061" s="1" t="s">
        <v>536</v>
      </c>
      <c r="H1061" s="1" t="s">
        <v>268</v>
      </c>
      <c r="I1061" s="5">
        <v>39936</v>
      </c>
      <c r="J1061" s="18" t="s">
        <v>11</v>
      </c>
      <c r="K1061" s="1" t="s">
        <v>28</v>
      </c>
      <c r="L1061" s="1" t="s">
        <v>846</v>
      </c>
      <c r="M1061" s="5"/>
      <c r="N1061" s="5" t="s">
        <v>10</v>
      </c>
      <c r="O1061" s="5" t="s">
        <v>10</v>
      </c>
      <c r="P1061" s="1" t="s">
        <v>6168</v>
      </c>
      <c r="Q1061" s="1" t="s">
        <v>6169</v>
      </c>
      <c r="R1061" s="2" t="s">
        <v>4936</v>
      </c>
      <c r="S1061" s="1" t="s">
        <v>6244</v>
      </c>
      <c r="T1061" s="1">
        <v>4042</v>
      </c>
      <c r="U1061" s="1">
        <v>1881</v>
      </c>
      <c r="V1061" s="1">
        <v>1881</v>
      </c>
      <c r="AH1061" s="1">
        <v>2161</v>
      </c>
      <c r="AI1061" s="1">
        <v>718</v>
      </c>
      <c r="AJ1061" s="1">
        <v>277</v>
      </c>
      <c r="AK1061" s="1">
        <v>1166</v>
      </c>
    </row>
    <row r="1062" spans="1:44" x14ac:dyDescent="0.2">
      <c r="A1062" s="1" t="s">
        <v>850</v>
      </c>
      <c r="B1062" s="1">
        <v>19414484</v>
      </c>
      <c r="C1062" s="1" t="s">
        <v>7420</v>
      </c>
      <c r="E1062" s="21">
        <v>656</v>
      </c>
      <c r="G1062" s="1" t="s">
        <v>6710</v>
      </c>
      <c r="H1062" s="1" t="s">
        <v>7215</v>
      </c>
      <c r="I1062" s="5">
        <v>39937</v>
      </c>
      <c r="J1062" s="18" t="s">
        <v>11</v>
      </c>
      <c r="K1062" s="1" t="s">
        <v>103</v>
      </c>
      <c r="L1062" s="1" t="s">
        <v>851</v>
      </c>
      <c r="M1062" s="5"/>
      <c r="N1062" s="5" t="s">
        <v>10</v>
      </c>
      <c r="O1062" s="5" t="s">
        <v>10</v>
      </c>
      <c r="P1062" s="1" t="s">
        <v>3478</v>
      </c>
      <c r="Q1062" s="1" t="s">
        <v>33</v>
      </c>
      <c r="R1062" s="2" t="s">
        <v>4545</v>
      </c>
      <c r="S1062" s="1" t="s">
        <v>6243</v>
      </c>
      <c r="T1062" s="1">
        <v>9264</v>
      </c>
      <c r="U1062" s="1">
        <v>9264</v>
      </c>
      <c r="V1062" s="1">
        <v>9264</v>
      </c>
    </row>
    <row r="1063" spans="1:44" x14ac:dyDescent="0.2">
      <c r="A1063" s="1" t="s">
        <v>849</v>
      </c>
      <c r="B1063" s="1">
        <v>19414679</v>
      </c>
      <c r="C1063" s="1" t="s">
        <v>7420</v>
      </c>
      <c r="E1063" s="21">
        <v>13</v>
      </c>
      <c r="G1063" s="1" t="s">
        <v>54</v>
      </c>
      <c r="H1063" s="1" t="s">
        <v>1809</v>
      </c>
      <c r="I1063" s="5">
        <v>39937</v>
      </c>
      <c r="J1063" s="18" t="s">
        <v>10</v>
      </c>
      <c r="K1063" s="1" t="s">
        <v>1810</v>
      </c>
      <c r="L1063" s="1" t="s">
        <v>2839</v>
      </c>
      <c r="M1063" s="5"/>
      <c r="N1063" s="5" t="s">
        <v>10</v>
      </c>
      <c r="O1063" s="5" t="s">
        <v>10</v>
      </c>
      <c r="P1063" s="1" t="s">
        <v>3373</v>
      </c>
      <c r="Q1063" s="1" t="s">
        <v>6657</v>
      </c>
      <c r="R1063" s="2" t="s">
        <v>5828</v>
      </c>
      <c r="S1063" s="1" t="s">
        <v>6248</v>
      </c>
      <c r="T1063" s="1">
        <v>189</v>
      </c>
      <c r="U1063" s="1">
        <v>100</v>
      </c>
      <c r="AE1063" s="1">
        <v>100</v>
      </c>
      <c r="AH1063" s="1">
        <v>89</v>
      </c>
      <c r="AR1063" s="1">
        <v>89</v>
      </c>
    </row>
    <row r="1064" spans="1:44" x14ac:dyDescent="0.2">
      <c r="A1064" s="1" t="s">
        <v>97</v>
      </c>
      <c r="B1064" s="1">
        <v>19416921</v>
      </c>
      <c r="C1064" s="1" t="s">
        <v>7420</v>
      </c>
      <c r="E1064" s="21">
        <v>28</v>
      </c>
      <c r="G1064" s="1" t="s">
        <v>112</v>
      </c>
      <c r="H1064" s="1" t="s">
        <v>7145</v>
      </c>
      <c r="I1064" s="5">
        <v>39938</v>
      </c>
      <c r="J1064" s="18" t="s">
        <v>11</v>
      </c>
      <c r="K1064" s="1" t="s">
        <v>210</v>
      </c>
      <c r="L1064" s="1" t="s">
        <v>852</v>
      </c>
      <c r="M1064" s="5"/>
      <c r="N1064" s="5" t="s">
        <v>10</v>
      </c>
      <c r="O1064" s="5" t="s">
        <v>10</v>
      </c>
      <c r="P1064" s="1" t="s">
        <v>3679</v>
      </c>
      <c r="Q1064" s="1" t="s">
        <v>33</v>
      </c>
      <c r="R1064" s="2" t="s">
        <v>6006</v>
      </c>
      <c r="S1064" s="1" t="s">
        <v>6243</v>
      </c>
      <c r="T1064" s="1">
        <v>18190</v>
      </c>
      <c r="U1064" s="1">
        <v>18190</v>
      </c>
      <c r="V1064" s="1">
        <v>18190</v>
      </c>
    </row>
    <row r="1065" spans="1:44" x14ac:dyDescent="0.2">
      <c r="A1065" s="1" t="s">
        <v>322</v>
      </c>
      <c r="B1065" s="1">
        <v>19419973</v>
      </c>
      <c r="C1065" s="1" t="s">
        <v>7420</v>
      </c>
      <c r="E1065" s="21">
        <v>57</v>
      </c>
      <c r="G1065" s="1" t="s">
        <v>6710</v>
      </c>
      <c r="H1065" s="1" t="s">
        <v>7215</v>
      </c>
      <c r="I1065" s="5">
        <v>39939</v>
      </c>
      <c r="J1065" s="18" t="s">
        <v>11</v>
      </c>
      <c r="K1065" s="1" t="s">
        <v>103</v>
      </c>
      <c r="L1065" s="1" t="s">
        <v>853</v>
      </c>
      <c r="M1065" s="5"/>
      <c r="N1065" s="5" t="s">
        <v>10</v>
      </c>
      <c r="O1065" s="5" t="s">
        <v>10</v>
      </c>
      <c r="P1065" s="1" t="s">
        <v>3634</v>
      </c>
      <c r="Q1065" s="1" t="s">
        <v>3635</v>
      </c>
      <c r="R1065" s="2" t="s">
        <v>4145</v>
      </c>
      <c r="S1065" s="1" t="s">
        <v>6243</v>
      </c>
      <c r="T1065" s="1">
        <v>6992</v>
      </c>
      <c r="U1065" s="1">
        <v>4300</v>
      </c>
      <c r="V1065" s="1">
        <v>4300</v>
      </c>
      <c r="AH1065" s="1">
        <v>2692</v>
      </c>
      <c r="AI1065" s="1">
        <v>2692</v>
      </c>
    </row>
    <row r="1066" spans="1:44" x14ac:dyDescent="0.2">
      <c r="A1066" s="1" t="s">
        <v>854</v>
      </c>
      <c r="B1066" s="1">
        <v>19421330</v>
      </c>
      <c r="C1066" s="1" t="s">
        <v>7420</v>
      </c>
      <c r="E1066" s="21">
        <v>25</v>
      </c>
      <c r="G1066" s="1" t="s">
        <v>858</v>
      </c>
      <c r="H1066" s="1" t="s">
        <v>7222</v>
      </c>
      <c r="I1066" s="5">
        <v>39940</v>
      </c>
      <c r="J1066" s="18" t="s">
        <v>11</v>
      </c>
      <c r="K1066" s="1" t="s">
        <v>181</v>
      </c>
      <c r="L1066" s="1" t="s">
        <v>855</v>
      </c>
      <c r="M1066" s="5"/>
      <c r="N1066" s="5" t="s">
        <v>10</v>
      </c>
      <c r="O1066" s="5" t="s">
        <v>10</v>
      </c>
      <c r="P1066" s="1" t="s">
        <v>856</v>
      </c>
      <c r="Q1066" s="1" t="s">
        <v>857</v>
      </c>
      <c r="R1066" s="2" t="s">
        <v>4030</v>
      </c>
      <c r="S1066" s="1" t="s">
        <v>6242</v>
      </c>
      <c r="T1066" s="1">
        <v>2016</v>
      </c>
      <c r="U1066" s="1">
        <v>350</v>
      </c>
      <c r="X1066" s="1">
        <v>350</v>
      </c>
      <c r="AH1066" s="1">
        <v>1666</v>
      </c>
      <c r="AK1066" s="1">
        <v>1666</v>
      </c>
    </row>
    <row r="1067" spans="1:44" x14ac:dyDescent="0.2">
      <c r="A1067" s="1" t="s">
        <v>859</v>
      </c>
      <c r="B1067" s="1">
        <v>19426955</v>
      </c>
      <c r="C1067" s="1" t="s">
        <v>7420</v>
      </c>
      <c r="E1067" s="21">
        <v>15</v>
      </c>
      <c r="G1067" s="1" t="s">
        <v>799</v>
      </c>
      <c r="H1067" s="1" t="s">
        <v>7052</v>
      </c>
      <c r="I1067" s="5">
        <v>39940</v>
      </c>
      <c r="J1067" s="18" t="s">
        <v>11</v>
      </c>
      <c r="K1067" s="1" t="s">
        <v>16</v>
      </c>
      <c r="L1067" s="1" t="s">
        <v>860</v>
      </c>
      <c r="M1067" s="5"/>
      <c r="N1067" s="5" t="s">
        <v>10</v>
      </c>
      <c r="O1067" s="5" t="s">
        <v>10</v>
      </c>
      <c r="P1067" s="1" t="s">
        <v>3636</v>
      </c>
      <c r="Q1067" s="1" t="s">
        <v>3637</v>
      </c>
      <c r="R1067" s="2" t="s">
        <v>4796</v>
      </c>
      <c r="S1067" s="1" t="s">
        <v>6244</v>
      </c>
      <c r="T1067" s="1">
        <v>26515</v>
      </c>
      <c r="U1067" s="1">
        <v>1205</v>
      </c>
      <c r="V1067" s="1">
        <v>1205</v>
      </c>
      <c r="AH1067" s="1">
        <v>25310</v>
      </c>
      <c r="AI1067" s="1">
        <v>17459</v>
      </c>
      <c r="AJ1067" s="1">
        <v>5258</v>
      </c>
      <c r="AM1067" s="1">
        <v>2593</v>
      </c>
    </row>
    <row r="1068" spans="1:44" x14ac:dyDescent="0.2">
      <c r="A1068" s="1" t="s">
        <v>249</v>
      </c>
      <c r="B1068" s="1">
        <v>19430479</v>
      </c>
      <c r="C1068" s="1" t="s">
        <v>7420</v>
      </c>
      <c r="E1068" s="21">
        <v>217</v>
      </c>
      <c r="G1068" s="1" t="s">
        <v>655</v>
      </c>
      <c r="H1068" s="1" t="s">
        <v>7222</v>
      </c>
      <c r="I1068" s="5">
        <v>39943</v>
      </c>
      <c r="J1068" s="18" t="s">
        <v>11</v>
      </c>
      <c r="K1068" s="1" t="s">
        <v>28</v>
      </c>
      <c r="L1068" s="1" t="s">
        <v>865</v>
      </c>
      <c r="M1068" s="5"/>
      <c r="N1068" s="5" t="s">
        <v>10</v>
      </c>
      <c r="O1068" s="5" t="s">
        <v>10</v>
      </c>
      <c r="P1068" s="1" t="s">
        <v>3813</v>
      </c>
      <c r="Q1068" s="1" t="s">
        <v>3693</v>
      </c>
      <c r="R1068" s="2" t="s">
        <v>5949</v>
      </c>
      <c r="S1068" s="1" t="s">
        <v>6243</v>
      </c>
      <c r="T1068" s="1">
        <v>63569</v>
      </c>
      <c r="U1068" s="1">
        <v>29136</v>
      </c>
      <c r="V1068" s="1">
        <v>29136</v>
      </c>
      <c r="AH1068" s="1">
        <v>34433</v>
      </c>
      <c r="AI1068" s="1">
        <v>34433</v>
      </c>
    </row>
    <row r="1069" spans="1:44" x14ac:dyDescent="0.2">
      <c r="A1069" s="1" t="s">
        <v>464</v>
      </c>
      <c r="B1069" s="1">
        <v>19430480</v>
      </c>
      <c r="C1069" s="1" t="s">
        <v>7420</v>
      </c>
      <c r="E1069" s="21">
        <v>48</v>
      </c>
      <c r="G1069" s="1" t="s">
        <v>155</v>
      </c>
      <c r="H1069" s="1" t="s">
        <v>7400</v>
      </c>
      <c r="I1069" s="5">
        <v>39943</v>
      </c>
      <c r="J1069" s="18" t="s">
        <v>11</v>
      </c>
      <c r="K1069" s="1" t="s">
        <v>28</v>
      </c>
      <c r="L1069" s="1" t="s">
        <v>866</v>
      </c>
      <c r="M1069" s="5"/>
      <c r="N1069" s="5" t="s">
        <v>10</v>
      </c>
      <c r="O1069" s="5" t="s">
        <v>10</v>
      </c>
      <c r="P1069" s="1" t="s">
        <v>3521</v>
      </c>
      <c r="Q1069" s="1" t="s">
        <v>3522</v>
      </c>
      <c r="R1069" s="2" t="s">
        <v>3939</v>
      </c>
      <c r="S1069" s="1" t="s">
        <v>6243</v>
      </c>
      <c r="T1069" s="1">
        <v>38522</v>
      </c>
      <c r="U1069" s="1">
        <v>16559</v>
      </c>
      <c r="V1069" s="1">
        <v>16559</v>
      </c>
      <c r="AH1069" s="1">
        <v>21963</v>
      </c>
      <c r="AI1069" s="1">
        <v>21963</v>
      </c>
    </row>
    <row r="1070" spans="1:44" x14ac:dyDescent="0.2">
      <c r="A1070" s="1" t="s">
        <v>6330</v>
      </c>
      <c r="B1070" s="1">
        <v>19430482</v>
      </c>
      <c r="C1070" s="1" t="s">
        <v>7420</v>
      </c>
      <c r="E1070" s="21">
        <v>211</v>
      </c>
      <c r="G1070" s="1" t="s">
        <v>869</v>
      </c>
      <c r="H1070" s="1" t="s">
        <v>7401</v>
      </c>
      <c r="I1070" s="5">
        <v>39943</v>
      </c>
      <c r="J1070" s="18" t="s">
        <v>11</v>
      </c>
      <c r="K1070" s="1" t="s">
        <v>28</v>
      </c>
      <c r="L1070" s="1" t="s">
        <v>867</v>
      </c>
      <c r="M1070" s="5"/>
      <c r="N1070" s="5" t="s">
        <v>10</v>
      </c>
      <c r="O1070" s="5" t="s">
        <v>10</v>
      </c>
      <c r="P1070" s="1" t="s">
        <v>6331</v>
      </c>
      <c r="Q1070" s="1" t="s">
        <v>6332</v>
      </c>
      <c r="R1070" s="2" t="s">
        <v>868</v>
      </c>
      <c r="S1070" s="1" t="s">
        <v>6243</v>
      </c>
      <c r="T1070" s="1">
        <v>41343</v>
      </c>
      <c r="U1070" s="1">
        <v>19877</v>
      </c>
      <c r="V1070" s="1">
        <v>19877</v>
      </c>
      <c r="AH1070" s="1">
        <v>21466</v>
      </c>
      <c r="AI1070" s="1">
        <v>21466</v>
      </c>
    </row>
    <row r="1071" spans="1:44" x14ac:dyDescent="0.2">
      <c r="A1071" s="1" t="s">
        <v>259</v>
      </c>
      <c r="B1071" s="1">
        <v>19430483</v>
      </c>
      <c r="C1071" s="1" t="s">
        <v>7420</v>
      </c>
      <c r="E1071" s="21">
        <v>53</v>
      </c>
      <c r="G1071" s="1" t="s">
        <v>655</v>
      </c>
      <c r="H1071" s="1" t="s">
        <v>7222</v>
      </c>
      <c r="I1071" s="5">
        <v>39943</v>
      </c>
      <c r="J1071" s="18" t="s">
        <v>11</v>
      </c>
      <c r="K1071" s="1" t="s">
        <v>28</v>
      </c>
      <c r="L1071" s="1" t="s">
        <v>870</v>
      </c>
      <c r="M1071" s="5"/>
      <c r="N1071" s="5" t="s">
        <v>10</v>
      </c>
      <c r="O1071" s="5" t="s">
        <v>10</v>
      </c>
      <c r="P1071" s="1" t="s">
        <v>3693</v>
      </c>
      <c r="Q1071" s="1" t="s">
        <v>4956</v>
      </c>
      <c r="R1071" s="2" t="s">
        <v>4701</v>
      </c>
      <c r="S1071" s="1" t="s">
        <v>6244</v>
      </c>
      <c r="T1071" s="1">
        <v>147669</v>
      </c>
      <c r="U1071" s="1">
        <v>34433</v>
      </c>
      <c r="V1071" s="1">
        <v>34433</v>
      </c>
      <c r="AH1071" s="1">
        <v>113236</v>
      </c>
      <c r="AI1071" s="1">
        <v>100347</v>
      </c>
      <c r="AL1071" s="1">
        <v>12889</v>
      </c>
    </row>
    <row r="1072" spans="1:44" x14ac:dyDescent="0.2">
      <c r="A1072" s="1" t="s">
        <v>861</v>
      </c>
      <c r="B1072" s="1">
        <v>19430760</v>
      </c>
      <c r="C1072" s="1" t="s">
        <v>7420</v>
      </c>
      <c r="E1072" s="21">
        <v>20</v>
      </c>
      <c r="G1072" s="1" t="s">
        <v>864</v>
      </c>
      <c r="H1072" s="1" t="s">
        <v>7383</v>
      </c>
      <c r="I1072" s="5">
        <v>39942</v>
      </c>
      <c r="J1072" s="18" t="s">
        <v>11</v>
      </c>
      <c r="K1072" s="1" t="s">
        <v>862</v>
      </c>
      <c r="L1072" s="1" t="s">
        <v>863</v>
      </c>
      <c r="M1072" s="5"/>
      <c r="N1072" s="5" t="s">
        <v>10</v>
      </c>
      <c r="O1072" s="5" t="s">
        <v>10</v>
      </c>
      <c r="P1072" s="1" t="s">
        <v>3887</v>
      </c>
      <c r="Q1072" s="1" t="s">
        <v>3888</v>
      </c>
      <c r="R1072" s="2" t="s">
        <v>4874</v>
      </c>
      <c r="S1072" s="1" t="s">
        <v>6270</v>
      </c>
      <c r="T1072" s="1">
        <v>1190</v>
      </c>
      <c r="U1072" s="1">
        <v>229</v>
      </c>
      <c r="Z1072" s="1">
        <v>229</v>
      </c>
      <c r="AH1072" s="1">
        <v>961</v>
      </c>
      <c r="AM1072" s="1">
        <v>961</v>
      </c>
    </row>
    <row r="1073" spans="1:44" x14ac:dyDescent="0.2">
      <c r="A1073" s="1" t="s">
        <v>871</v>
      </c>
      <c r="B1073" s="1">
        <v>19442274</v>
      </c>
      <c r="C1073" s="1" t="s">
        <v>7420</v>
      </c>
      <c r="E1073" s="21">
        <v>29</v>
      </c>
      <c r="G1073" s="1" t="s">
        <v>874</v>
      </c>
      <c r="H1073" s="1" t="s">
        <v>492</v>
      </c>
      <c r="I1073" s="5">
        <v>39947</v>
      </c>
      <c r="J1073" s="18" t="s">
        <v>11</v>
      </c>
      <c r="K1073" s="1" t="s">
        <v>872</v>
      </c>
      <c r="L1073" s="1" t="s">
        <v>873</v>
      </c>
      <c r="M1073" s="5"/>
      <c r="N1073" s="5" t="s">
        <v>10</v>
      </c>
      <c r="O1073" s="5" t="s">
        <v>10</v>
      </c>
      <c r="P1073" s="1" t="s">
        <v>3750</v>
      </c>
      <c r="Q1073" s="1" t="s">
        <v>33</v>
      </c>
      <c r="R1073" s="2" t="s">
        <v>4950</v>
      </c>
      <c r="S1073" s="1" t="s">
        <v>6434</v>
      </c>
      <c r="T1073" s="1">
        <v>322</v>
      </c>
      <c r="U1073" s="1">
        <v>322</v>
      </c>
      <c r="AC1073" s="1">
        <v>322</v>
      </c>
    </row>
    <row r="1074" spans="1:44" x14ac:dyDescent="0.2">
      <c r="A1074" s="1" t="s">
        <v>878</v>
      </c>
      <c r="B1074" s="1">
        <v>19448189</v>
      </c>
      <c r="C1074" s="1" t="s">
        <v>7420</v>
      </c>
      <c r="E1074" s="21">
        <v>2414</v>
      </c>
      <c r="G1074" s="1" t="s">
        <v>882</v>
      </c>
      <c r="H1074" s="1" t="s">
        <v>7150</v>
      </c>
      <c r="I1074" s="5">
        <v>39948</v>
      </c>
      <c r="J1074" s="18" t="s">
        <v>11</v>
      </c>
      <c r="K1074" s="1" t="s">
        <v>879</v>
      </c>
      <c r="L1074" s="1" t="s">
        <v>880</v>
      </c>
      <c r="M1074" s="5"/>
      <c r="N1074" s="5" t="s">
        <v>10</v>
      </c>
      <c r="O1074" s="5" t="s">
        <v>10</v>
      </c>
      <c r="P1074" s="1" t="s">
        <v>3623</v>
      </c>
      <c r="Q1074" s="1" t="s">
        <v>3622</v>
      </c>
      <c r="R1074" s="2" t="s">
        <v>881</v>
      </c>
      <c r="S1074" s="1" t="s">
        <v>6244</v>
      </c>
      <c r="T1074" s="1">
        <v>1536</v>
      </c>
      <c r="U1074" s="1">
        <v>1177</v>
      </c>
      <c r="AD1074" s="1">
        <v>1177</v>
      </c>
      <c r="AH1074" s="1">
        <v>359</v>
      </c>
      <c r="AI1074" s="1">
        <v>359</v>
      </c>
    </row>
    <row r="1075" spans="1:44" x14ac:dyDescent="0.2">
      <c r="A1075" s="1" t="s">
        <v>7118</v>
      </c>
      <c r="B1075" s="1">
        <v>19448619</v>
      </c>
      <c r="C1075" s="1" t="s">
        <v>7420</v>
      </c>
      <c r="E1075" s="21">
        <v>38</v>
      </c>
      <c r="G1075" s="1" t="s">
        <v>876</v>
      </c>
      <c r="H1075" s="1" t="s">
        <v>6674</v>
      </c>
      <c r="I1075" s="5">
        <v>39948</v>
      </c>
      <c r="J1075" s="18" t="s">
        <v>11</v>
      </c>
      <c r="K1075" s="1" t="s">
        <v>28</v>
      </c>
      <c r="L1075" s="1" t="s">
        <v>875</v>
      </c>
      <c r="M1075" s="5"/>
      <c r="N1075" s="5" t="s">
        <v>11</v>
      </c>
      <c r="O1075" s="5" t="s">
        <v>11</v>
      </c>
      <c r="P1075" s="1" t="s">
        <v>3803</v>
      </c>
      <c r="Q1075" s="1" t="s">
        <v>3804</v>
      </c>
      <c r="R1075" s="2" t="s">
        <v>4531</v>
      </c>
      <c r="S1075" s="1" t="s">
        <v>6243</v>
      </c>
      <c r="T1075" s="1">
        <v>5539</v>
      </c>
      <c r="U1075" s="1">
        <v>2979</v>
      </c>
      <c r="V1075" s="1">
        <v>2979</v>
      </c>
      <c r="AH1075" s="1">
        <v>2560</v>
      </c>
      <c r="AI1075" s="1">
        <v>2560</v>
      </c>
    </row>
    <row r="1076" spans="1:44" x14ac:dyDescent="0.2">
      <c r="A1076" s="1" t="s">
        <v>883</v>
      </c>
      <c r="B1076" s="1">
        <v>19448620</v>
      </c>
      <c r="C1076" s="1" t="s">
        <v>7420</v>
      </c>
      <c r="E1076" s="21">
        <v>34</v>
      </c>
      <c r="G1076" s="1" t="s">
        <v>776</v>
      </c>
      <c r="H1076" s="1" t="s">
        <v>6674</v>
      </c>
      <c r="I1076" s="5">
        <v>39950</v>
      </c>
      <c r="J1076" s="18" t="s">
        <v>11</v>
      </c>
      <c r="K1076" s="1" t="s">
        <v>28</v>
      </c>
      <c r="L1076" s="1" t="s">
        <v>884</v>
      </c>
      <c r="M1076" s="5"/>
      <c r="N1076" s="5" t="s">
        <v>11</v>
      </c>
      <c r="O1076" s="5" t="s">
        <v>11</v>
      </c>
      <c r="P1076" s="1" t="s">
        <v>3765</v>
      </c>
      <c r="Q1076" s="1" t="s">
        <v>33</v>
      </c>
      <c r="R1076" s="2" t="s">
        <v>868</v>
      </c>
      <c r="S1076" s="1" t="s">
        <v>6243</v>
      </c>
      <c r="T1076" s="1">
        <v>17510</v>
      </c>
      <c r="U1076" s="1">
        <v>17510</v>
      </c>
      <c r="V1076" s="1">
        <v>17510</v>
      </c>
    </row>
    <row r="1077" spans="1:44" x14ac:dyDescent="0.2">
      <c r="A1077" s="1" t="s">
        <v>885</v>
      </c>
      <c r="B1077" s="1">
        <v>19448621</v>
      </c>
      <c r="C1077" s="1" t="s">
        <v>7420</v>
      </c>
      <c r="E1077" s="21">
        <v>25</v>
      </c>
      <c r="G1077" s="1" t="s">
        <v>776</v>
      </c>
      <c r="H1077" s="1" t="s">
        <v>6674</v>
      </c>
      <c r="I1077" s="5">
        <v>39950</v>
      </c>
      <c r="J1077" s="18" t="s">
        <v>11</v>
      </c>
      <c r="K1077" s="1" t="s">
        <v>28</v>
      </c>
      <c r="L1077" s="1" t="s">
        <v>886</v>
      </c>
      <c r="M1077" s="5"/>
      <c r="N1077" s="5" t="s">
        <v>11</v>
      </c>
      <c r="O1077" s="5" t="s">
        <v>11</v>
      </c>
      <c r="P1077" s="1" t="s">
        <v>6214</v>
      </c>
      <c r="Q1077" s="1" t="s">
        <v>33</v>
      </c>
      <c r="R1077" s="2" t="s">
        <v>4734</v>
      </c>
      <c r="S1077" s="1" t="s">
        <v>6243</v>
      </c>
      <c r="T1077" s="1">
        <v>17438</v>
      </c>
      <c r="U1077" s="1">
        <v>17438</v>
      </c>
      <c r="V1077" s="1">
        <v>17438</v>
      </c>
    </row>
    <row r="1078" spans="1:44" x14ac:dyDescent="0.2">
      <c r="A1078" s="1" t="s">
        <v>277</v>
      </c>
      <c r="B1078" s="1">
        <v>19448622</v>
      </c>
      <c r="C1078" s="1" t="s">
        <v>7420</v>
      </c>
      <c r="E1078" s="21">
        <v>20</v>
      </c>
      <c r="G1078" s="1" t="s">
        <v>776</v>
      </c>
      <c r="H1078" s="1" t="s">
        <v>6674</v>
      </c>
      <c r="I1078" s="5">
        <v>39948</v>
      </c>
      <c r="J1078" s="18" t="s">
        <v>11</v>
      </c>
      <c r="K1078" s="1" t="s">
        <v>28</v>
      </c>
      <c r="L1078" s="1" t="s">
        <v>877</v>
      </c>
      <c r="M1078" s="5"/>
      <c r="N1078" s="5" t="s">
        <v>11</v>
      </c>
      <c r="O1078" s="5" t="s">
        <v>11</v>
      </c>
      <c r="P1078" s="1" t="s">
        <v>4563</v>
      </c>
      <c r="Q1078" s="1" t="s">
        <v>4987</v>
      </c>
      <c r="R1078" s="2" t="s">
        <v>4435</v>
      </c>
      <c r="S1078" s="1" t="s">
        <v>6243</v>
      </c>
      <c r="T1078" s="1">
        <v>25337</v>
      </c>
      <c r="U1078" s="1">
        <v>15297</v>
      </c>
      <c r="V1078" s="1">
        <v>15297</v>
      </c>
      <c r="AH1078" s="1">
        <v>10040</v>
      </c>
      <c r="AI1078" s="1">
        <v>10040</v>
      </c>
    </row>
    <row r="1079" spans="1:44" x14ac:dyDescent="0.2">
      <c r="A1079" s="1" t="s">
        <v>887</v>
      </c>
      <c r="B1079" s="1">
        <v>19448623</v>
      </c>
      <c r="C1079" s="1" t="s">
        <v>7420</v>
      </c>
      <c r="E1079" s="21">
        <v>42</v>
      </c>
      <c r="G1079" s="1" t="s">
        <v>776</v>
      </c>
      <c r="H1079" s="1" t="s">
        <v>6674</v>
      </c>
      <c r="I1079" s="5">
        <v>39950</v>
      </c>
      <c r="J1079" s="18" t="s">
        <v>11</v>
      </c>
      <c r="K1079" s="1" t="s">
        <v>28</v>
      </c>
      <c r="L1079" s="1" t="s">
        <v>888</v>
      </c>
      <c r="M1079" s="5"/>
      <c r="N1079" s="5" t="s">
        <v>11</v>
      </c>
      <c r="O1079" s="5" t="s">
        <v>11</v>
      </c>
      <c r="P1079" s="1" t="s">
        <v>3612</v>
      </c>
      <c r="Q1079" s="1" t="s">
        <v>4629</v>
      </c>
      <c r="R1079" s="2" t="s">
        <v>4959</v>
      </c>
      <c r="S1079" s="1" t="s">
        <v>6243</v>
      </c>
      <c r="T1079" s="1">
        <v>21087</v>
      </c>
      <c r="U1079" s="1">
        <v>4714</v>
      </c>
      <c r="V1079" s="1">
        <v>4714</v>
      </c>
      <c r="AH1079" s="1">
        <v>16373</v>
      </c>
      <c r="AI1079" s="1">
        <v>16373</v>
      </c>
    </row>
    <row r="1080" spans="1:44" x14ac:dyDescent="0.2">
      <c r="A1080" s="1" t="s">
        <v>889</v>
      </c>
      <c r="B1080" s="1">
        <v>19451621</v>
      </c>
      <c r="C1080" s="1" t="s">
        <v>7420</v>
      </c>
      <c r="E1080" s="21">
        <v>149</v>
      </c>
      <c r="G1080" s="1" t="s">
        <v>193</v>
      </c>
      <c r="H1080" s="1" t="s">
        <v>7142</v>
      </c>
      <c r="I1080" s="5">
        <v>39951</v>
      </c>
      <c r="J1080" s="18" t="s">
        <v>11</v>
      </c>
      <c r="K1080" s="1" t="s">
        <v>210</v>
      </c>
      <c r="L1080" s="1" t="s">
        <v>890</v>
      </c>
      <c r="M1080" s="5"/>
      <c r="N1080" s="5" t="s">
        <v>10</v>
      </c>
      <c r="O1080" s="5" t="s">
        <v>10</v>
      </c>
      <c r="P1080" s="1" t="s">
        <v>6118</v>
      </c>
      <c r="Q1080" s="1" t="s">
        <v>6271</v>
      </c>
      <c r="R1080" s="2" t="s">
        <v>4787</v>
      </c>
      <c r="S1080" s="1" t="s">
        <v>6389</v>
      </c>
      <c r="T1080" s="1">
        <v>5173</v>
      </c>
      <c r="U1080" s="1">
        <v>4079</v>
      </c>
      <c r="V1080" s="1">
        <v>4079</v>
      </c>
      <c r="AH1080" s="1">
        <v>1094</v>
      </c>
      <c r="AR1080" s="1">
        <v>1094</v>
      </c>
    </row>
    <row r="1081" spans="1:44" x14ac:dyDescent="0.2">
      <c r="A1081" s="1" t="s">
        <v>891</v>
      </c>
      <c r="B1081" s="1">
        <v>19454037</v>
      </c>
      <c r="C1081" s="1" t="s">
        <v>7420</v>
      </c>
      <c r="E1081" s="21">
        <v>25</v>
      </c>
      <c r="G1081" s="1" t="s">
        <v>893</v>
      </c>
      <c r="H1081" s="1" t="s">
        <v>7242</v>
      </c>
      <c r="I1081" s="5">
        <v>39952</v>
      </c>
      <c r="J1081" s="18" t="s">
        <v>11</v>
      </c>
      <c r="K1081" s="1" t="s">
        <v>220</v>
      </c>
      <c r="L1081" s="1" t="s">
        <v>892</v>
      </c>
      <c r="M1081" s="5"/>
      <c r="N1081" s="5" t="s">
        <v>10</v>
      </c>
      <c r="O1081" s="5" t="s">
        <v>10</v>
      </c>
      <c r="P1081" s="1" t="s">
        <v>6198</v>
      </c>
      <c r="Q1081" s="1" t="s">
        <v>6199</v>
      </c>
      <c r="R1081" s="2" t="s">
        <v>4653</v>
      </c>
      <c r="S1081" s="1" t="s">
        <v>6244</v>
      </c>
      <c r="T1081" s="1">
        <v>2373</v>
      </c>
      <c r="U1081" s="1">
        <v>202</v>
      </c>
      <c r="V1081" s="1">
        <v>202</v>
      </c>
      <c r="AH1081" s="1">
        <v>2171</v>
      </c>
      <c r="AI1081" s="1">
        <v>704</v>
      </c>
      <c r="AJ1081" s="1">
        <v>1467</v>
      </c>
    </row>
    <row r="1082" spans="1:44" x14ac:dyDescent="0.2">
      <c r="A1082" s="1" t="s">
        <v>905</v>
      </c>
      <c r="B1082" s="1">
        <v>19456320</v>
      </c>
      <c r="C1082" s="1" t="s">
        <v>7420</v>
      </c>
      <c r="E1082" s="21">
        <v>102</v>
      </c>
      <c r="G1082" s="1" t="s">
        <v>317</v>
      </c>
      <c r="H1082" s="1" t="s">
        <v>318</v>
      </c>
      <c r="I1082" s="5">
        <v>39961</v>
      </c>
      <c r="J1082" s="18" t="s">
        <v>11</v>
      </c>
      <c r="K1082" s="1" t="s">
        <v>906</v>
      </c>
      <c r="L1082" s="1" t="s">
        <v>907</v>
      </c>
      <c r="M1082" s="5"/>
      <c r="N1082" s="5" t="s">
        <v>10</v>
      </c>
      <c r="O1082" s="5" t="s">
        <v>10</v>
      </c>
      <c r="P1082" s="1" t="s">
        <v>6144</v>
      </c>
      <c r="Q1082" s="1" t="s">
        <v>6145</v>
      </c>
      <c r="R1082" s="2" t="s">
        <v>4521</v>
      </c>
      <c r="S1082" s="1" t="s">
        <v>6243</v>
      </c>
      <c r="T1082" s="1">
        <v>3780</v>
      </c>
      <c r="U1082" s="1">
        <v>1390</v>
      </c>
      <c r="V1082" s="1">
        <v>1390</v>
      </c>
      <c r="AH1082" s="1">
        <v>2390</v>
      </c>
      <c r="AI1082" s="1">
        <v>2390</v>
      </c>
    </row>
    <row r="1083" spans="1:44" x14ac:dyDescent="0.2">
      <c r="A1083" s="1" t="s">
        <v>894</v>
      </c>
      <c r="B1083" s="1">
        <v>19458352</v>
      </c>
      <c r="C1083" s="1" t="s">
        <v>7420</v>
      </c>
      <c r="E1083" s="21">
        <v>90</v>
      </c>
      <c r="G1083" s="1" t="s">
        <v>896</v>
      </c>
      <c r="H1083" s="1" t="s">
        <v>897</v>
      </c>
      <c r="I1083" s="5">
        <v>39953</v>
      </c>
      <c r="J1083" s="18" t="s">
        <v>11</v>
      </c>
      <c r="K1083" s="1" t="s">
        <v>157</v>
      </c>
      <c r="L1083" s="1" t="s">
        <v>895</v>
      </c>
      <c r="M1083" s="5"/>
      <c r="N1083" s="5" t="s">
        <v>10</v>
      </c>
      <c r="O1083" s="5" t="s">
        <v>10</v>
      </c>
      <c r="P1083" s="1" t="s">
        <v>3592</v>
      </c>
      <c r="Q1083" s="1" t="s">
        <v>3593</v>
      </c>
      <c r="R1083" s="2" t="s">
        <v>4539</v>
      </c>
      <c r="S1083" s="1" t="s">
        <v>6243</v>
      </c>
      <c r="T1083" s="1">
        <v>3744</v>
      </c>
      <c r="U1083" s="1">
        <v>2012</v>
      </c>
      <c r="V1083" s="1">
        <v>2012</v>
      </c>
      <c r="AH1083" s="1">
        <v>1732</v>
      </c>
      <c r="AI1083" s="1">
        <v>1732</v>
      </c>
    </row>
    <row r="1084" spans="1:44" x14ac:dyDescent="0.2">
      <c r="A1084" s="1" t="s">
        <v>898</v>
      </c>
      <c r="B1084" s="1">
        <v>19461586</v>
      </c>
      <c r="C1084" s="1" t="s">
        <v>7420</v>
      </c>
      <c r="E1084" s="21">
        <v>52</v>
      </c>
      <c r="G1084" s="1" t="s">
        <v>900</v>
      </c>
      <c r="H1084" s="1" t="s">
        <v>7205</v>
      </c>
      <c r="I1084" s="5">
        <v>39954</v>
      </c>
      <c r="J1084" s="18" t="s">
        <v>11</v>
      </c>
      <c r="K1084" s="1" t="s">
        <v>686</v>
      </c>
      <c r="L1084" s="1" t="s">
        <v>899</v>
      </c>
      <c r="M1084" s="5"/>
      <c r="N1084" s="5" t="s">
        <v>10</v>
      </c>
      <c r="O1084" s="5" t="s">
        <v>10</v>
      </c>
      <c r="P1084" s="1" t="s">
        <v>3887</v>
      </c>
      <c r="Q1084" s="1" t="s">
        <v>3888</v>
      </c>
      <c r="R1084" s="2" t="s">
        <v>4874</v>
      </c>
      <c r="S1084" s="1" t="s">
        <v>6270</v>
      </c>
      <c r="T1084" s="1">
        <v>1190</v>
      </c>
      <c r="U1084" s="1">
        <v>229</v>
      </c>
      <c r="Z1084" s="1">
        <v>229</v>
      </c>
      <c r="AH1084" s="1">
        <v>961</v>
      </c>
      <c r="AM1084" s="1">
        <v>961</v>
      </c>
    </row>
    <row r="1085" spans="1:44" x14ac:dyDescent="0.2">
      <c r="A1085" s="1" t="s">
        <v>901</v>
      </c>
      <c r="B1085" s="1">
        <v>19465909</v>
      </c>
      <c r="C1085" s="1" t="s">
        <v>7420</v>
      </c>
      <c r="E1085" s="21">
        <v>385</v>
      </c>
      <c r="G1085" s="1" t="s">
        <v>903</v>
      </c>
      <c r="H1085" s="1" t="s">
        <v>904</v>
      </c>
      <c r="I1085" s="5">
        <v>39957</v>
      </c>
      <c r="J1085" s="18" t="s">
        <v>11</v>
      </c>
      <c r="K1085" s="1" t="s">
        <v>28</v>
      </c>
      <c r="L1085" s="1" t="s">
        <v>902</v>
      </c>
      <c r="M1085" s="5"/>
      <c r="N1085" s="5" t="s">
        <v>10</v>
      </c>
      <c r="O1085" s="5" t="s">
        <v>10</v>
      </c>
      <c r="P1085" s="1" t="s">
        <v>4121</v>
      </c>
      <c r="Q1085" s="1" t="s">
        <v>4282</v>
      </c>
      <c r="R1085" s="2" t="s">
        <v>4283</v>
      </c>
      <c r="S1085" s="1" t="s">
        <v>6440</v>
      </c>
      <c r="T1085" s="1">
        <v>5803</v>
      </c>
      <c r="U1085" s="1">
        <v>2340</v>
      </c>
      <c r="W1085" s="1">
        <v>2340</v>
      </c>
      <c r="AH1085" s="1">
        <v>3463</v>
      </c>
      <c r="AJ1085" s="1">
        <v>3463</v>
      </c>
    </row>
    <row r="1086" spans="1:44" x14ac:dyDescent="0.2">
      <c r="A1086" s="1" t="s">
        <v>908</v>
      </c>
      <c r="B1086" s="1">
        <v>19478329</v>
      </c>
      <c r="C1086" s="1" t="s">
        <v>7420</v>
      </c>
      <c r="E1086" s="21">
        <v>22</v>
      </c>
      <c r="G1086" s="1" t="s">
        <v>911</v>
      </c>
      <c r="H1086" s="1" t="s">
        <v>6691</v>
      </c>
      <c r="I1086" s="5">
        <v>39961</v>
      </c>
      <c r="J1086" s="18" t="s">
        <v>11</v>
      </c>
      <c r="K1086" s="1" t="s">
        <v>909</v>
      </c>
      <c r="L1086" s="1" t="s">
        <v>910</v>
      </c>
      <c r="M1086" s="5"/>
      <c r="N1086" s="5" t="s">
        <v>11</v>
      </c>
      <c r="O1086" s="5" t="s">
        <v>11</v>
      </c>
      <c r="P1086" s="1" t="s">
        <v>6228</v>
      </c>
      <c r="Q1086" s="1" t="s">
        <v>33</v>
      </c>
      <c r="R1086" s="2" t="s">
        <v>4481</v>
      </c>
      <c r="S1086" s="1" t="s">
        <v>6243</v>
      </c>
      <c r="T1086" s="1">
        <v>172</v>
      </c>
      <c r="U1086" s="1">
        <v>172</v>
      </c>
      <c r="V1086" s="1">
        <v>172</v>
      </c>
    </row>
    <row r="1087" spans="1:44" x14ac:dyDescent="0.2">
      <c r="A1087" s="1" t="s">
        <v>912</v>
      </c>
      <c r="B1087" s="1">
        <v>19478819</v>
      </c>
      <c r="C1087" s="1" t="s">
        <v>7420</v>
      </c>
      <c r="E1087" s="21">
        <v>8</v>
      </c>
      <c r="G1087" s="1" t="s">
        <v>916</v>
      </c>
      <c r="H1087" s="1" t="s">
        <v>7102</v>
      </c>
      <c r="I1087" s="5">
        <v>39962</v>
      </c>
      <c r="J1087" s="18" t="s">
        <v>11</v>
      </c>
      <c r="K1087" s="1" t="s">
        <v>689</v>
      </c>
      <c r="L1087" s="1" t="s">
        <v>913</v>
      </c>
      <c r="M1087" s="5"/>
      <c r="N1087" s="5" t="s">
        <v>10</v>
      </c>
      <c r="O1087" s="5" t="s">
        <v>10</v>
      </c>
      <c r="P1087" s="1" t="s">
        <v>914</v>
      </c>
      <c r="Q1087" s="1" t="s">
        <v>915</v>
      </c>
      <c r="R1087" s="2" t="s">
        <v>4341</v>
      </c>
      <c r="S1087" s="1" t="s">
        <v>6242</v>
      </c>
      <c r="T1087" s="1">
        <v>791</v>
      </c>
      <c r="U1087" s="1">
        <v>371</v>
      </c>
      <c r="X1087" s="1">
        <v>371</v>
      </c>
      <c r="AH1087" s="1">
        <v>420</v>
      </c>
      <c r="AK1087" s="1">
        <v>420</v>
      </c>
    </row>
    <row r="1088" spans="1:44" x14ac:dyDescent="0.2">
      <c r="A1088" s="1" t="s">
        <v>917</v>
      </c>
      <c r="B1088" s="1">
        <v>19483681</v>
      </c>
      <c r="C1088" s="1" t="s">
        <v>7420</v>
      </c>
      <c r="E1088" s="21">
        <v>10</v>
      </c>
      <c r="G1088" s="1" t="s">
        <v>919</v>
      </c>
      <c r="H1088" s="1" t="s">
        <v>6692</v>
      </c>
      <c r="I1088" s="5">
        <v>39964</v>
      </c>
      <c r="J1088" s="18" t="s">
        <v>11</v>
      </c>
      <c r="K1088" s="1" t="s">
        <v>28</v>
      </c>
      <c r="L1088" s="1" t="s">
        <v>918</v>
      </c>
      <c r="M1088" s="5"/>
      <c r="N1088" s="1" t="s">
        <v>11</v>
      </c>
      <c r="O1088" s="1" t="s">
        <v>11</v>
      </c>
      <c r="P1088" s="1" t="s">
        <v>3532</v>
      </c>
      <c r="Q1088" s="1" t="s">
        <v>3938</v>
      </c>
      <c r="R1088" s="2" t="s">
        <v>4710</v>
      </c>
      <c r="S1088" s="1" t="s">
        <v>6243</v>
      </c>
      <c r="T1088" s="1">
        <v>4542</v>
      </c>
      <c r="U1088" s="1">
        <v>2165</v>
      </c>
      <c r="V1088" s="1">
        <v>2165</v>
      </c>
      <c r="AH1088" s="1">
        <v>2377</v>
      </c>
      <c r="AI1088" s="1">
        <v>2377</v>
      </c>
    </row>
    <row r="1089" spans="1:44" x14ac:dyDescent="0.2">
      <c r="A1089" s="1" t="s">
        <v>920</v>
      </c>
      <c r="B1089" s="1">
        <v>19483682</v>
      </c>
      <c r="C1089" s="1" t="s">
        <v>7420</v>
      </c>
      <c r="E1089" s="21">
        <v>19</v>
      </c>
      <c r="G1089" s="1" t="s">
        <v>919</v>
      </c>
      <c r="H1089" s="1" t="s">
        <v>6692</v>
      </c>
      <c r="I1089" s="5">
        <v>39964</v>
      </c>
      <c r="J1089" s="18" t="s">
        <v>11</v>
      </c>
      <c r="K1089" s="1" t="s">
        <v>28</v>
      </c>
      <c r="L1089" s="1" t="s">
        <v>921</v>
      </c>
      <c r="M1089" s="5"/>
      <c r="N1089" s="1" t="s">
        <v>11</v>
      </c>
      <c r="O1089" s="1" t="s">
        <v>11</v>
      </c>
      <c r="P1089" s="1" t="s">
        <v>5609</v>
      </c>
      <c r="Q1089" s="1" t="s">
        <v>5610</v>
      </c>
      <c r="R1089" s="2" t="s">
        <v>4052</v>
      </c>
      <c r="S1089" s="1" t="s">
        <v>6243</v>
      </c>
      <c r="T1089" s="1">
        <v>2631</v>
      </c>
      <c r="U1089" s="1">
        <v>1196</v>
      </c>
      <c r="V1089" s="1">
        <v>1196</v>
      </c>
      <c r="AH1089" s="1">
        <v>1435</v>
      </c>
      <c r="AI1089" s="1">
        <v>1435</v>
      </c>
    </row>
    <row r="1090" spans="1:44" x14ac:dyDescent="0.2">
      <c r="A1090" s="1" t="s">
        <v>922</v>
      </c>
      <c r="B1090" s="1">
        <v>19483685</v>
      </c>
      <c r="C1090" s="1" t="s">
        <v>7420</v>
      </c>
      <c r="E1090" s="21">
        <v>24</v>
      </c>
      <c r="G1090" s="1" t="s">
        <v>924</v>
      </c>
      <c r="H1090" s="1" t="s">
        <v>7134</v>
      </c>
      <c r="I1090" s="5">
        <v>39964</v>
      </c>
      <c r="J1090" s="18" t="s">
        <v>11</v>
      </c>
      <c r="K1090" s="1" t="s">
        <v>28</v>
      </c>
      <c r="L1090" s="1" t="s">
        <v>923</v>
      </c>
      <c r="M1090" s="5"/>
      <c r="N1090" s="5" t="s">
        <v>10</v>
      </c>
      <c r="O1090" s="5" t="s">
        <v>10</v>
      </c>
      <c r="P1090" s="1" t="s">
        <v>3570</v>
      </c>
      <c r="Q1090" s="1" t="s">
        <v>33</v>
      </c>
      <c r="R1090" s="2" t="s">
        <v>4632</v>
      </c>
      <c r="S1090" s="1" t="s">
        <v>6243</v>
      </c>
      <c r="T1090" s="1">
        <v>340</v>
      </c>
      <c r="U1090" s="1">
        <v>340</v>
      </c>
      <c r="V1090" s="1">
        <v>340</v>
      </c>
    </row>
    <row r="1091" spans="1:44" x14ac:dyDescent="0.2">
      <c r="A1091" s="1" t="s">
        <v>925</v>
      </c>
      <c r="B1091" s="1">
        <v>19488044</v>
      </c>
      <c r="C1091" s="1" t="s">
        <v>7420</v>
      </c>
      <c r="E1091" s="21">
        <v>246</v>
      </c>
      <c r="G1091" s="1" t="s">
        <v>112</v>
      </c>
      <c r="H1091" s="1" t="s">
        <v>7145</v>
      </c>
      <c r="I1091" s="5">
        <v>39966</v>
      </c>
      <c r="J1091" s="18" t="s">
        <v>11</v>
      </c>
      <c r="K1091" s="1" t="s">
        <v>71</v>
      </c>
      <c r="L1091" s="1" t="s">
        <v>926</v>
      </c>
      <c r="M1091" s="5"/>
      <c r="N1091" s="5" t="s">
        <v>10</v>
      </c>
      <c r="O1091" s="5" t="s">
        <v>10</v>
      </c>
      <c r="P1091" s="1" t="s">
        <v>6138</v>
      </c>
      <c r="Q1091" s="1" t="s">
        <v>6139</v>
      </c>
      <c r="R1091" s="2" t="s">
        <v>4163</v>
      </c>
      <c r="S1091" s="1" t="s">
        <v>6244</v>
      </c>
      <c r="T1091" s="1">
        <v>6492</v>
      </c>
      <c r="U1091" s="1">
        <v>3049</v>
      </c>
      <c r="V1091" s="1">
        <v>2034</v>
      </c>
      <c r="W1091" s="1">
        <v>1015</v>
      </c>
      <c r="AH1091" s="1">
        <v>3443</v>
      </c>
      <c r="AI1091" s="1">
        <v>3443</v>
      </c>
    </row>
    <row r="1092" spans="1:44" x14ac:dyDescent="0.2">
      <c r="A1092" s="1" t="s">
        <v>929</v>
      </c>
      <c r="B1092" s="1">
        <v>19497516</v>
      </c>
      <c r="C1092" s="1" t="s">
        <v>7420</v>
      </c>
      <c r="E1092" s="21">
        <v>5</v>
      </c>
      <c r="G1092" s="1" t="s">
        <v>932</v>
      </c>
      <c r="H1092" s="1" t="s">
        <v>7197</v>
      </c>
      <c r="I1092" s="5">
        <v>39970</v>
      </c>
      <c r="J1092" s="18" t="s">
        <v>11</v>
      </c>
      <c r="K1092" s="1" t="s">
        <v>930</v>
      </c>
      <c r="L1092" s="1" t="s">
        <v>931</v>
      </c>
      <c r="M1092" s="5"/>
      <c r="N1092" s="5" t="s">
        <v>10</v>
      </c>
      <c r="O1092" s="5" t="s">
        <v>10</v>
      </c>
      <c r="P1092" s="1" t="s">
        <v>3839</v>
      </c>
      <c r="Q1092" s="1" t="s">
        <v>3840</v>
      </c>
      <c r="R1092" s="2" t="s">
        <v>4618</v>
      </c>
      <c r="S1092" s="1" t="s">
        <v>6248</v>
      </c>
      <c r="T1092" s="1">
        <v>1656</v>
      </c>
      <c r="U1092" s="1">
        <v>235</v>
      </c>
      <c r="AE1092" s="1">
        <v>235</v>
      </c>
      <c r="AH1092" s="1">
        <v>1421</v>
      </c>
      <c r="AR1092" s="1">
        <v>1421</v>
      </c>
    </row>
    <row r="1093" spans="1:44" x14ac:dyDescent="0.2">
      <c r="A1093" s="1" t="s">
        <v>933</v>
      </c>
      <c r="B1093" s="1">
        <v>19503088</v>
      </c>
      <c r="C1093" s="1" t="s">
        <v>7420</v>
      </c>
      <c r="E1093" s="21">
        <v>5858</v>
      </c>
      <c r="G1093" s="1" t="s">
        <v>48</v>
      </c>
      <c r="H1093" s="1" t="s">
        <v>7340</v>
      </c>
      <c r="I1093" s="5">
        <v>39971</v>
      </c>
      <c r="J1093" s="18" t="s">
        <v>11</v>
      </c>
      <c r="K1093" s="1" t="s">
        <v>28</v>
      </c>
      <c r="L1093" s="1" t="s">
        <v>934</v>
      </c>
      <c r="M1093" s="5"/>
      <c r="N1093" s="5" t="s">
        <v>10</v>
      </c>
      <c r="O1093" s="5" t="s">
        <v>10</v>
      </c>
      <c r="P1093" s="1" t="s">
        <v>3795</v>
      </c>
      <c r="Q1093" s="1" t="s">
        <v>4134</v>
      </c>
      <c r="R1093" s="2" t="s">
        <v>4791</v>
      </c>
      <c r="S1093" s="1" t="s">
        <v>6243</v>
      </c>
      <c r="T1093" s="1">
        <v>12408</v>
      </c>
      <c r="U1093" s="1">
        <v>6922</v>
      </c>
      <c r="V1093" s="1">
        <v>6922</v>
      </c>
      <c r="AH1093" s="1">
        <v>5486</v>
      </c>
      <c r="AI1093" s="1">
        <v>5486</v>
      </c>
    </row>
    <row r="1094" spans="1:44" x14ac:dyDescent="0.2">
      <c r="A1094" s="1" t="s">
        <v>927</v>
      </c>
      <c r="B1094" s="1">
        <v>19503597</v>
      </c>
      <c r="C1094" s="1" t="s">
        <v>7420</v>
      </c>
      <c r="E1094" s="21">
        <v>981</v>
      </c>
      <c r="G1094" s="1" t="s">
        <v>6733</v>
      </c>
      <c r="H1094" s="1" t="s">
        <v>7211</v>
      </c>
      <c r="I1094" s="5">
        <v>39969</v>
      </c>
      <c r="J1094" s="18" t="s">
        <v>11</v>
      </c>
      <c r="K1094" s="1" t="s">
        <v>65</v>
      </c>
      <c r="L1094" s="1" t="s">
        <v>928</v>
      </c>
      <c r="M1094" s="5"/>
      <c r="N1094" s="5" t="s">
        <v>10</v>
      </c>
      <c r="O1094" s="5" t="s">
        <v>10</v>
      </c>
      <c r="P1094" s="1" t="s">
        <v>4561</v>
      </c>
      <c r="Q1094" s="1" t="s">
        <v>33</v>
      </c>
      <c r="R1094" s="2" t="s">
        <v>6007</v>
      </c>
      <c r="S1094" s="1" t="s">
        <v>6243</v>
      </c>
      <c r="T1094" s="1">
        <v>28141</v>
      </c>
      <c r="U1094" s="1">
        <v>28141</v>
      </c>
      <c r="V1094" s="1">
        <v>28141</v>
      </c>
    </row>
    <row r="1095" spans="1:44" x14ac:dyDescent="0.2">
      <c r="A1095" s="1" t="s">
        <v>935</v>
      </c>
      <c r="B1095" s="1">
        <v>19508968</v>
      </c>
      <c r="C1095" s="1" t="s">
        <v>7420</v>
      </c>
      <c r="E1095" s="21">
        <v>102</v>
      </c>
      <c r="G1095" s="1" t="s">
        <v>6892</v>
      </c>
      <c r="H1095" s="1" t="s">
        <v>430</v>
      </c>
      <c r="I1095" s="5">
        <v>39972</v>
      </c>
      <c r="J1095" s="18" t="s">
        <v>11</v>
      </c>
      <c r="K1095" s="1" t="s">
        <v>541</v>
      </c>
      <c r="L1095" s="1" t="s">
        <v>936</v>
      </c>
      <c r="M1095" s="5"/>
      <c r="N1095" s="5" t="s">
        <v>10</v>
      </c>
      <c r="O1095" s="5" t="s">
        <v>10</v>
      </c>
      <c r="P1095" s="1" t="s">
        <v>6164</v>
      </c>
      <c r="Q1095" s="1" t="s">
        <v>6165</v>
      </c>
      <c r="R1095" s="2" t="s">
        <v>4557</v>
      </c>
      <c r="S1095" s="1" t="s">
        <v>6243</v>
      </c>
      <c r="T1095" s="1">
        <v>5070</v>
      </c>
      <c r="U1095" s="1">
        <v>1804</v>
      </c>
      <c r="V1095" s="1">
        <v>1804</v>
      </c>
      <c r="AH1095" s="1">
        <v>3266</v>
      </c>
      <c r="AI1095" s="1">
        <v>3266</v>
      </c>
    </row>
    <row r="1096" spans="1:44" x14ac:dyDescent="0.2">
      <c r="A1096" s="1" t="s">
        <v>7120</v>
      </c>
      <c r="B1096" s="1">
        <v>19508998</v>
      </c>
      <c r="C1096" s="1" t="s">
        <v>7420</v>
      </c>
      <c r="E1096" s="21">
        <v>15705</v>
      </c>
      <c r="G1096" s="1" t="s">
        <v>6914</v>
      </c>
      <c r="H1096" s="1" t="s">
        <v>6682</v>
      </c>
      <c r="I1096" s="5">
        <v>39973</v>
      </c>
      <c r="J1096" s="18" t="s">
        <v>11</v>
      </c>
      <c r="K1096" s="1" t="s">
        <v>937</v>
      </c>
      <c r="L1096" s="1" t="s">
        <v>938</v>
      </c>
      <c r="M1096" s="5"/>
      <c r="N1096" s="5" t="s">
        <v>11</v>
      </c>
      <c r="O1096" s="5" t="s">
        <v>11</v>
      </c>
      <c r="P1096" s="1" t="s">
        <v>6195</v>
      </c>
      <c r="Q1096" s="1" t="s">
        <v>6196</v>
      </c>
      <c r="R1096" s="2" t="s">
        <v>4943</v>
      </c>
      <c r="S1096" s="1" t="s">
        <v>6243</v>
      </c>
      <c r="T1096" s="1">
        <v>484</v>
      </c>
      <c r="U1096" s="1">
        <v>334</v>
      </c>
      <c r="V1096" s="1">
        <v>334</v>
      </c>
      <c r="AH1096" s="1">
        <v>150</v>
      </c>
      <c r="AI1096" s="1">
        <v>150</v>
      </c>
    </row>
    <row r="1097" spans="1:44" x14ac:dyDescent="0.2">
      <c r="A1097" s="1" t="s">
        <v>939</v>
      </c>
      <c r="B1097" s="1">
        <v>19525478</v>
      </c>
      <c r="C1097" s="1" t="s">
        <v>7420</v>
      </c>
      <c r="E1097" s="21">
        <v>29</v>
      </c>
      <c r="G1097" s="1" t="s">
        <v>6850</v>
      </c>
      <c r="H1097" s="1" t="s">
        <v>7202</v>
      </c>
      <c r="I1097" s="5">
        <v>39976</v>
      </c>
      <c r="J1097" s="18" t="s">
        <v>11</v>
      </c>
      <c r="K1097" s="1" t="s">
        <v>455</v>
      </c>
      <c r="L1097" s="1" t="s">
        <v>940</v>
      </c>
      <c r="M1097" s="5"/>
      <c r="N1097" s="5" t="s">
        <v>10</v>
      </c>
      <c r="O1097" s="5" t="s">
        <v>10</v>
      </c>
      <c r="P1097" s="1" t="s">
        <v>3880</v>
      </c>
      <c r="Q1097" s="1" t="s">
        <v>4069</v>
      </c>
      <c r="R1097" s="2" t="s">
        <v>4368</v>
      </c>
      <c r="S1097" s="1" t="s">
        <v>6243</v>
      </c>
      <c r="T1097" s="1">
        <v>1625</v>
      </c>
      <c r="U1097" s="1">
        <v>387</v>
      </c>
      <c r="V1097" s="1">
        <v>387</v>
      </c>
      <c r="AH1097" s="1">
        <v>1238</v>
      </c>
      <c r="AI1097" s="1">
        <v>1238</v>
      </c>
    </row>
    <row r="1098" spans="1:44" x14ac:dyDescent="0.2">
      <c r="A1098" s="1" t="s">
        <v>941</v>
      </c>
      <c r="B1098" s="1">
        <v>19525953</v>
      </c>
      <c r="C1098" s="1" t="s">
        <v>7420</v>
      </c>
      <c r="E1098" s="21">
        <v>188</v>
      </c>
      <c r="G1098" s="1" t="s">
        <v>175</v>
      </c>
      <c r="H1098" s="1" t="s">
        <v>7402</v>
      </c>
      <c r="I1098" s="5">
        <v>39978</v>
      </c>
      <c r="J1098" s="18" t="s">
        <v>11</v>
      </c>
      <c r="K1098" s="1" t="s">
        <v>28</v>
      </c>
      <c r="L1098" s="1" t="s">
        <v>942</v>
      </c>
      <c r="M1098" s="5"/>
      <c r="N1098" s="5" t="s">
        <v>10</v>
      </c>
      <c r="O1098" s="5" t="s">
        <v>10</v>
      </c>
      <c r="P1098" s="1" t="s">
        <v>3830</v>
      </c>
      <c r="Q1098" s="1" t="s">
        <v>4135</v>
      </c>
      <c r="R1098" s="2" t="s">
        <v>943</v>
      </c>
      <c r="S1098" s="1" t="s">
        <v>6243</v>
      </c>
      <c r="T1098" s="1">
        <v>14175</v>
      </c>
      <c r="U1098" s="1">
        <v>9844</v>
      </c>
      <c r="V1098" s="1">
        <v>9844</v>
      </c>
      <c r="AH1098" s="1">
        <v>4331</v>
      </c>
      <c r="AI1098" s="1">
        <v>4331</v>
      </c>
    </row>
    <row r="1099" spans="1:44" x14ac:dyDescent="0.2">
      <c r="A1099" s="1" t="s">
        <v>945</v>
      </c>
      <c r="B1099" s="1">
        <v>19525955</v>
      </c>
      <c r="C1099" s="1" t="s">
        <v>7420</v>
      </c>
      <c r="E1099" s="21">
        <v>97</v>
      </c>
      <c r="G1099" s="1" t="s">
        <v>175</v>
      </c>
      <c r="H1099" s="1" t="s">
        <v>7402</v>
      </c>
      <c r="I1099" s="5">
        <v>39978</v>
      </c>
      <c r="J1099" s="18" t="s">
        <v>11</v>
      </c>
      <c r="K1099" s="1" t="s">
        <v>28</v>
      </c>
      <c r="L1099" s="1" t="s">
        <v>944</v>
      </c>
      <c r="M1099" s="5"/>
      <c r="N1099" s="5" t="s">
        <v>10</v>
      </c>
      <c r="O1099" s="5" t="s">
        <v>10</v>
      </c>
      <c r="P1099" s="1" t="s">
        <v>5079</v>
      </c>
      <c r="Q1099" s="1" t="s">
        <v>5080</v>
      </c>
      <c r="R1099" s="2" t="s">
        <v>4175</v>
      </c>
      <c r="S1099" s="1" t="s">
        <v>6243</v>
      </c>
      <c r="T1099" s="1">
        <v>9597</v>
      </c>
      <c r="U1099" s="1">
        <v>5031</v>
      </c>
      <c r="V1099" s="1">
        <v>5031</v>
      </c>
      <c r="AH1099" s="1">
        <v>4566</v>
      </c>
      <c r="AI1099" s="1">
        <v>4566</v>
      </c>
    </row>
    <row r="1100" spans="1:44" x14ac:dyDescent="0.2">
      <c r="A1100" s="1" t="s">
        <v>948</v>
      </c>
      <c r="B1100" s="1">
        <v>19536264</v>
      </c>
      <c r="C1100" s="1" t="s">
        <v>7420</v>
      </c>
      <c r="E1100" s="21">
        <v>130</v>
      </c>
      <c r="G1100" s="1" t="s">
        <v>435</v>
      </c>
      <c r="H1100" s="1" t="s">
        <v>436</v>
      </c>
      <c r="I1100" s="5">
        <v>39982</v>
      </c>
      <c r="J1100" s="18" t="s">
        <v>10</v>
      </c>
      <c r="K1100" s="1" t="s">
        <v>58</v>
      </c>
      <c r="L1100" s="1" t="s">
        <v>2840</v>
      </c>
      <c r="M1100" s="5"/>
      <c r="N1100" s="5" t="s">
        <v>10</v>
      </c>
      <c r="O1100" s="5" t="s">
        <v>10</v>
      </c>
      <c r="P1100" s="1" t="s">
        <v>6272</v>
      </c>
      <c r="Q1100" s="1" t="s">
        <v>6273</v>
      </c>
      <c r="R1100" s="2" t="s">
        <v>4112</v>
      </c>
      <c r="S1100" s="1" t="s">
        <v>6243</v>
      </c>
      <c r="T1100" s="1">
        <v>5601</v>
      </c>
      <c r="U1100" s="1">
        <v>1649</v>
      </c>
      <c r="V1100" s="1">
        <v>1649</v>
      </c>
      <c r="AH1100" s="1">
        <v>3952</v>
      </c>
      <c r="AI1100" s="1">
        <v>3952</v>
      </c>
    </row>
    <row r="1101" spans="1:44" x14ac:dyDescent="0.2">
      <c r="A1101" s="1" t="s">
        <v>949</v>
      </c>
      <c r="B1101" s="1">
        <v>19553259</v>
      </c>
      <c r="C1101" s="1" t="s">
        <v>7420</v>
      </c>
      <c r="E1101" s="21">
        <v>23</v>
      </c>
      <c r="G1101" s="1" t="s">
        <v>951</v>
      </c>
      <c r="H1101" s="1" t="s">
        <v>7229</v>
      </c>
      <c r="I1101" s="5">
        <v>39988</v>
      </c>
      <c r="J1101" s="18" t="s">
        <v>11</v>
      </c>
      <c r="K1101" s="1" t="s">
        <v>103</v>
      </c>
      <c r="L1101" s="1" t="s">
        <v>950</v>
      </c>
      <c r="M1101" s="5"/>
      <c r="N1101" s="5" t="s">
        <v>10</v>
      </c>
      <c r="O1101" s="5" t="s">
        <v>10</v>
      </c>
      <c r="P1101" s="1" t="s">
        <v>6232</v>
      </c>
      <c r="Q1101" s="1" t="s">
        <v>33</v>
      </c>
      <c r="R1101" s="2" t="s">
        <v>4769</v>
      </c>
      <c r="S1101" s="1" t="s">
        <v>6243</v>
      </c>
      <c r="T1101" s="1">
        <v>3972</v>
      </c>
      <c r="U1101" s="1">
        <v>3972</v>
      </c>
      <c r="V1101" s="1">
        <v>3972</v>
      </c>
    </row>
    <row r="1102" spans="1:44" x14ac:dyDescent="0.2">
      <c r="A1102" s="1" t="s">
        <v>952</v>
      </c>
      <c r="B1102" s="1">
        <v>19557161</v>
      </c>
      <c r="C1102" s="1" t="s">
        <v>7420</v>
      </c>
      <c r="E1102" s="21">
        <v>77</v>
      </c>
      <c r="G1102" s="1" t="s">
        <v>900</v>
      </c>
      <c r="H1102" s="1" t="s">
        <v>7205</v>
      </c>
      <c r="I1102" s="5">
        <v>39990</v>
      </c>
      <c r="J1102" s="18" t="s">
        <v>11</v>
      </c>
      <c r="K1102" s="1" t="s">
        <v>65</v>
      </c>
      <c r="L1102" s="1" t="s">
        <v>953</v>
      </c>
      <c r="M1102" s="5"/>
      <c r="N1102" s="5" t="s">
        <v>10</v>
      </c>
      <c r="O1102" s="5" t="s">
        <v>10</v>
      </c>
      <c r="P1102" s="1" t="s">
        <v>6275</v>
      </c>
      <c r="Q1102" s="1" t="s">
        <v>6276</v>
      </c>
      <c r="R1102" s="2" t="s">
        <v>4370</v>
      </c>
      <c r="S1102" s="1" t="s">
        <v>6243</v>
      </c>
      <c r="T1102" s="1">
        <v>140644</v>
      </c>
      <c r="U1102" s="1">
        <v>38580</v>
      </c>
      <c r="V1102" s="1">
        <v>38580</v>
      </c>
      <c r="AH1102" s="1">
        <v>102064</v>
      </c>
      <c r="AI1102" s="1">
        <v>102064</v>
      </c>
    </row>
    <row r="1103" spans="1:44" x14ac:dyDescent="0.2">
      <c r="A1103" s="1" t="s">
        <v>954</v>
      </c>
      <c r="B1103" s="1">
        <v>19557197</v>
      </c>
      <c r="C1103" s="1" t="s">
        <v>7420</v>
      </c>
      <c r="E1103" s="21">
        <v>457</v>
      </c>
      <c r="G1103" s="1" t="s">
        <v>900</v>
      </c>
      <c r="H1103" s="1" t="s">
        <v>7205</v>
      </c>
      <c r="I1103" s="5">
        <v>39990</v>
      </c>
      <c r="J1103" s="18" t="s">
        <v>11</v>
      </c>
      <c r="K1103" s="1" t="s">
        <v>65</v>
      </c>
      <c r="L1103" s="1" t="s">
        <v>955</v>
      </c>
      <c r="M1103" s="5"/>
      <c r="N1103" s="5" t="s">
        <v>10</v>
      </c>
      <c r="O1103" s="5" t="s">
        <v>10</v>
      </c>
      <c r="P1103" s="1" t="s">
        <v>6172</v>
      </c>
      <c r="Q1103" s="1" t="s">
        <v>6173</v>
      </c>
      <c r="R1103" s="2" t="s">
        <v>4227</v>
      </c>
      <c r="S1103" s="1" t="s">
        <v>6243</v>
      </c>
      <c r="T1103" s="1">
        <v>70014</v>
      </c>
      <c r="U1103" s="1">
        <v>31373</v>
      </c>
      <c r="V1103" s="1">
        <v>31373</v>
      </c>
      <c r="AH1103" s="1">
        <v>38641</v>
      </c>
      <c r="AI1103" s="1">
        <v>38641</v>
      </c>
    </row>
    <row r="1104" spans="1:44" x14ac:dyDescent="0.2">
      <c r="A1104" s="1" t="s">
        <v>184</v>
      </c>
      <c r="B1104" s="1">
        <v>19561606</v>
      </c>
      <c r="C1104" s="1" t="s">
        <v>7420</v>
      </c>
      <c r="E1104" s="21">
        <v>32</v>
      </c>
      <c r="G1104" s="1" t="s">
        <v>957</v>
      </c>
      <c r="H1104" s="1" t="s">
        <v>13</v>
      </c>
      <c r="I1104" s="5">
        <v>39992</v>
      </c>
      <c r="J1104" s="18" t="s">
        <v>11</v>
      </c>
      <c r="K1104" s="1" t="s">
        <v>28</v>
      </c>
      <c r="L1104" s="1" t="s">
        <v>956</v>
      </c>
      <c r="M1104" s="5"/>
      <c r="N1104" s="5" t="s">
        <v>10</v>
      </c>
      <c r="O1104" s="5" t="s">
        <v>10</v>
      </c>
      <c r="P1104" s="1" t="s">
        <v>4426</v>
      </c>
      <c r="Q1104" s="1" t="s">
        <v>4427</v>
      </c>
      <c r="R1104" s="2" t="s">
        <v>4332</v>
      </c>
      <c r="S1104" s="1" t="s">
        <v>6243</v>
      </c>
      <c r="T1104" s="1">
        <v>46283</v>
      </c>
      <c r="U1104" s="1">
        <v>35540</v>
      </c>
      <c r="V1104" s="1">
        <v>35540</v>
      </c>
      <c r="AH1104" s="1">
        <v>10743</v>
      </c>
      <c r="AI1104" s="1">
        <v>10743</v>
      </c>
    </row>
    <row r="1105" spans="1:44" x14ac:dyDescent="0.2">
      <c r="A1105" s="1" t="s">
        <v>958</v>
      </c>
      <c r="B1105" s="1">
        <v>19567438</v>
      </c>
      <c r="C1105" s="1" t="s">
        <v>7420</v>
      </c>
      <c r="E1105" s="21">
        <v>14</v>
      </c>
      <c r="G1105" s="1" t="s">
        <v>6800</v>
      </c>
      <c r="H1105" s="1" t="s">
        <v>7407</v>
      </c>
      <c r="I1105" s="5">
        <v>39995</v>
      </c>
      <c r="J1105" s="18" t="s">
        <v>11</v>
      </c>
      <c r="K1105" s="1" t="s">
        <v>699</v>
      </c>
      <c r="L1105" s="1" t="s">
        <v>959</v>
      </c>
      <c r="M1105" s="5"/>
      <c r="N1105" s="5" t="s">
        <v>10</v>
      </c>
      <c r="O1105" s="5" t="s">
        <v>10</v>
      </c>
      <c r="P1105" s="1" t="s">
        <v>6333</v>
      </c>
      <c r="Q1105" s="1" t="s">
        <v>6334</v>
      </c>
      <c r="R1105" s="2" t="s">
        <v>960</v>
      </c>
      <c r="S1105" s="1" t="s">
        <v>6244</v>
      </c>
      <c r="T1105" s="1">
        <v>77944</v>
      </c>
      <c r="U1105" s="1">
        <v>17957</v>
      </c>
      <c r="V1105" s="1">
        <v>10674</v>
      </c>
      <c r="AD1105" s="1">
        <v>5502</v>
      </c>
      <c r="AE1105" s="1">
        <v>1781</v>
      </c>
      <c r="AH1105" s="1">
        <v>59987</v>
      </c>
      <c r="AI1105" s="1">
        <v>9902</v>
      </c>
      <c r="AQ1105" s="1">
        <v>34090</v>
      </c>
      <c r="AR1105" s="1">
        <v>15995</v>
      </c>
    </row>
    <row r="1106" spans="1:44" x14ac:dyDescent="0.2">
      <c r="A1106" s="1" t="s">
        <v>969</v>
      </c>
      <c r="B1106" s="1">
        <v>19567891</v>
      </c>
      <c r="C1106" s="1" t="s">
        <v>7420</v>
      </c>
      <c r="E1106" s="21">
        <v>13188</v>
      </c>
      <c r="G1106" s="1" t="s">
        <v>970</v>
      </c>
      <c r="H1106" s="1" t="s">
        <v>7145</v>
      </c>
      <c r="I1106" s="5">
        <v>39995</v>
      </c>
      <c r="J1106" s="18" t="s">
        <v>10</v>
      </c>
      <c r="K1106" s="1" t="s">
        <v>2841</v>
      </c>
      <c r="L1106" s="1" t="s">
        <v>2842</v>
      </c>
      <c r="M1106" s="5"/>
      <c r="N1106" s="5" t="s">
        <v>10</v>
      </c>
      <c r="O1106" s="5" t="s">
        <v>10</v>
      </c>
      <c r="P1106" s="1" t="s">
        <v>3771</v>
      </c>
      <c r="Q1106" s="1" t="s">
        <v>33</v>
      </c>
      <c r="R1106" s="6" t="s">
        <v>6455</v>
      </c>
      <c r="S1106" s="1" t="s">
        <v>6243</v>
      </c>
      <c r="T1106" s="1">
        <v>4806</v>
      </c>
      <c r="U1106" s="1">
        <v>4806</v>
      </c>
      <c r="V1106" s="1">
        <v>4806</v>
      </c>
    </row>
    <row r="1107" spans="1:44" x14ac:dyDescent="0.2">
      <c r="A1107" s="1" t="s">
        <v>961</v>
      </c>
      <c r="B1107" s="1">
        <v>19570815</v>
      </c>
      <c r="C1107" s="1" t="s">
        <v>7420</v>
      </c>
      <c r="E1107" s="21">
        <v>53</v>
      </c>
      <c r="G1107" s="1" t="s">
        <v>197</v>
      </c>
      <c r="H1107" s="1" t="s">
        <v>7270</v>
      </c>
      <c r="I1107" s="5">
        <v>39995</v>
      </c>
      <c r="J1107" s="18" t="s">
        <v>11</v>
      </c>
      <c r="K1107" s="1" t="s">
        <v>103</v>
      </c>
      <c r="L1107" s="1" t="s">
        <v>962</v>
      </c>
      <c r="M1107" s="5"/>
      <c r="N1107" s="5" t="s">
        <v>10</v>
      </c>
      <c r="O1107" s="5" t="s">
        <v>10</v>
      </c>
      <c r="P1107" s="1" t="s">
        <v>4978</v>
      </c>
      <c r="Q1107" s="1" t="s">
        <v>4651</v>
      </c>
      <c r="R1107" s="2" t="s">
        <v>4815</v>
      </c>
      <c r="S1107" s="1" t="s">
        <v>6243</v>
      </c>
      <c r="T1107" s="1">
        <v>16986</v>
      </c>
      <c r="U1107" s="1">
        <v>10074</v>
      </c>
      <c r="V1107" s="1">
        <v>10074</v>
      </c>
      <c r="AH1107" s="1">
        <v>6912</v>
      </c>
      <c r="AI1107" s="1">
        <v>6912</v>
      </c>
    </row>
    <row r="1108" spans="1:44" x14ac:dyDescent="0.2">
      <c r="A1108" s="1" t="s">
        <v>159</v>
      </c>
      <c r="B1108" s="1">
        <v>19571808</v>
      </c>
      <c r="C1108" s="1" t="s">
        <v>7420</v>
      </c>
      <c r="E1108" s="21">
        <v>110</v>
      </c>
      <c r="G1108" s="1" t="s">
        <v>74</v>
      </c>
      <c r="H1108" s="1" t="s">
        <v>2545</v>
      </c>
      <c r="I1108" s="5">
        <v>39995</v>
      </c>
      <c r="J1108" s="18" t="s">
        <v>11</v>
      </c>
      <c r="K1108" s="1" t="s">
        <v>58</v>
      </c>
      <c r="L1108" s="1" t="s">
        <v>963</v>
      </c>
      <c r="M1108" s="5"/>
      <c r="N1108" s="5" t="s">
        <v>10</v>
      </c>
      <c r="O1108" s="5" t="s">
        <v>10</v>
      </c>
      <c r="P1108" s="1" t="s">
        <v>4355</v>
      </c>
      <c r="Q1108" s="1" t="s">
        <v>5002</v>
      </c>
      <c r="R1108" s="2" t="s">
        <v>4447</v>
      </c>
      <c r="S1108" s="1" t="s">
        <v>6243</v>
      </c>
      <c r="T1108" s="1">
        <v>47536</v>
      </c>
      <c r="U1108" s="1">
        <v>16161</v>
      </c>
      <c r="V1108" s="1">
        <v>16161</v>
      </c>
      <c r="AH1108" s="1">
        <v>31375</v>
      </c>
      <c r="AI1108" s="1">
        <v>31375</v>
      </c>
    </row>
    <row r="1109" spans="1:44" x14ac:dyDescent="0.2">
      <c r="A1109" s="1" t="s">
        <v>971</v>
      </c>
      <c r="B1109" s="1">
        <v>19571809</v>
      </c>
      <c r="C1109" s="1" t="s">
        <v>7420</v>
      </c>
      <c r="E1109" s="21">
        <v>3557</v>
      </c>
      <c r="G1109" s="1" t="s">
        <v>74</v>
      </c>
      <c r="H1109" s="1" t="s">
        <v>2545</v>
      </c>
      <c r="I1109" s="5">
        <v>39995</v>
      </c>
      <c r="J1109" s="18" t="s">
        <v>11</v>
      </c>
      <c r="K1109" s="1" t="s">
        <v>58</v>
      </c>
      <c r="L1109" s="1" t="s">
        <v>972</v>
      </c>
      <c r="M1109" s="5"/>
      <c r="N1109" s="5" t="s">
        <v>10</v>
      </c>
      <c r="O1109" s="5" t="s">
        <v>10</v>
      </c>
      <c r="P1109" s="1" t="s">
        <v>5183</v>
      </c>
      <c r="Q1109" s="1" t="s">
        <v>5184</v>
      </c>
      <c r="R1109" s="2" t="s">
        <v>4356</v>
      </c>
      <c r="S1109" s="1" t="s">
        <v>6244</v>
      </c>
      <c r="T1109" s="1">
        <v>29344</v>
      </c>
      <c r="U1109" s="1">
        <v>7593</v>
      </c>
      <c r="V1109" s="1">
        <v>5334</v>
      </c>
      <c r="W1109" s="1">
        <v>2259</v>
      </c>
      <c r="AH1109" s="1">
        <v>21751</v>
      </c>
      <c r="AI1109" s="1">
        <v>21751</v>
      </c>
    </row>
    <row r="1110" spans="1:44" x14ac:dyDescent="0.2">
      <c r="A1110" s="1" t="s">
        <v>964</v>
      </c>
      <c r="B1110" s="1">
        <v>19571811</v>
      </c>
      <c r="C1110" s="1" t="s">
        <v>7420</v>
      </c>
      <c r="E1110" s="21">
        <v>139</v>
      </c>
      <c r="G1110" s="1" t="s">
        <v>74</v>
      </c>
      <c r="H1110" s="1" t="s">
        <v>2545</v>
      </c>
      <c r="I1110" s="5">
        <v>39995</v>
      </c>
      <c r="J1110" s="18" t="s">
        <v>11</v>
      </c>
      <c r="K1110" s="1" t="s">
        <v>58</v>
      </c>
      <c r="L1110" s="1" t="s">
        <v>965</v>
      </c>
      <c r="M1110" s="5"/>
      <c r="N1110" s="5" t="s">
        <v>10</v>
      </c>
      <c r="O1110" s="5" t="s">
        <v>10</v>
      </c>
      <c r="P1110" s="1" t="s">
        <v>5542</v>
      </c>
      <c r="Q1110" s="1" t="s">
        <v>5543</v>
      </c>
      <c r="R1110" s="2" t="s">
        <v>4913</v>
      </c>
      <c r="S1110" s="1" t="s">
        <v>6243</v>
      </c>
      <c r="T1110" s="1">
        <v>27094</v>
      </c>
      <c r="U1110" s="1">
        <v>6909</v>
      </c>
      <c r="V1110" s="1">
        <v>6909</v>
      </c>
      <c r="AH1110" s="1">
        <v>20185</v>
      </c>
      <c r="AI1110" s="1">
        <v>20185</v>
      </c>
    </row>
    <row r="1111" spans="1:44" x14ac:dyDescent="0.2">
      <c r="A1111" s="1" t="s">
        <v>973</v>
      </c>
      <c r="B1111" s="1">
        <v>19578179</v>
      </c>
      <c r="C1111" s="1" t="s">
        <v>7420</v>
      </c>
      <c r="E1111" s="21">
        <v>65</v>
      </c>
      <c r="G1111" s="1" t="s">
        <v>6976</v>
      </c>
      <c r="H1111" s="1" t="s">
        <v>458</v>
      </c>
      <c r="I1111" s="5">
        <v>39998</v>
      </c>
      <c r="J1111" s="18" t="s">
        <v>11</v>
      </c>
      <c r="K1111" s="1" t="s">
        <v>103</v>
      </c>
      <c r="L1111" s="1" t="s">
        <v>974</v>
      </c>
      <c r="M1111" s="5"/>
      <c r="N1111" s="5" t="s">
        <v>10</v>
      </c>
      <c r="O1111" s="5" t="s">
        <v>10</v>
      </c>
      <c r="P1111" s="1" t="s">
        <v>6156</v>
      </c>
      <c r="Q1111" s="1" t="s">
        <v>6157</v>
      </c>
      <c r="R1111" s="2" t="s">
        <v>4955</v>
      </c>
      <c r="S1111" s="1" t="s">
        <v>6243</v>
      </c>
      <c r="T1111" s="1">
        <v>1738</v>
      </c>
      <c r="U1111" s="1">
        <v>1451</v>
      </c>
      <c r="V1111" s="1">
        <v>1451</v>
      </c>
      <c r="AH1111" s="1">
        <v>287</v>
      </c>
      <c r="AI1111" s="1">
        <v>287</v>
      </c>
    </row>
    <row r="1112" spans="1:44" x14ac:dyDescent="0.2">
      <c r="A1112" s="1" t="s">
        <v>975</v>
      </c>
      <c r="B1112" s="1">
        <v>19578364</v>
      </c>
      <c r="C1112" s="1" t="s">
        <v>7420</v>
      </c>
      <c r="E1112" s="21">
        <v>39</v>
      </c>
      <c r="G1112" s="1" t="s">
        <v>6866</v>
      </c>
      <c r="H1112" s="1" t="s">
        <v>2562</v>
      </c>
      <c r="I1112" s="5">
        <v>39999</v>
      </c>
      <c r="J1112" s="18" t="s">
        <v>11</v>
      </c>
      <c r="K1112" s="1" t="s">
        <v>28</v>
      </c>
      <c r="L1112" s="1" t="s">
        <v>976</v>
      </c>
      <c r="M1112" s="5"/>
      <c r="N1112" s="5" t="s">
        <v>10</v>
      </c>
      <c r="O1112" s="5" t="s">
        <v>10</v>
      </c>
      <c r="P1112" s="1" t="s">
        <v>5076</v>
      </c>
      <c r="Q1112" s="1" t="s">
        <v>5077</v>
      </c>
      <c r="R1112" s="2" t="s">
        <v>4726</v>
      </c>
      <c r="S1112" s="1" t="s">
        <v>6243</v>
      </c>
      <c r="T1112" s="1">
        <v>9635</v>
      </c>
      <c r="U1112" s="1">
        <v>5456</v>
      </c>
      <c r="V1112" s="1">
        <v>5456</v>
      </c>
      <c r="AH1112" s="1">
        <v>4179</v>
      </c>
      <c r="AI1112" s="1">
        <v>4179</v>
      </c>
    </row>
    <row r="1113" spans="1:44" x14ac:dyDescent="0.2">
      <c r="A1113" s="1" t="s">
        <v>977</v>
      </c>
      <c r="B1113" s="1">
        <v>19578365</v>
      </c>
      <c r="C1113" s="1" t="s">
        <v>7420</v>
      </c>
      <c r="E1113" s="21">
        <v>39</v>
      </c>
      <c r="G1113" s="1" t="s">
        <v>6866</v>
      </c>
      <c r="H1113" s="1" t="s">
        <v>2562</v>
      </c>
      <c r="I1113" s="5">
        <v>39999</v>
      </c>
      <c r="J1113" s="18" t="s">
        <v>11</v>
      </c>
      <c r="K1113" s="1" t="s">
        <v>28</v>
      </c>
      <c r="L1113" s="1" t="s">
        <v>978</v>
      </c>
      <c r="M1113" s="5"/>
      <c r="N1113" s="5" t="s">
        <v>10</v>
      </c>
      <c r="O1113" s="5" t="s">
        <v>10</v>
      </c>
      <c r="P1113" s="1" t="s">
        <v>3994</v>
      </c>
      <c r="Q1113" s="1" t="s">
        <v>4429</v>
      </c>
      <c r="R1113" s="2" t="s">
        <v>4725</v>
      </c>
      <c r="S1113" s="1" t="s">
        <v>6243</v>
      </c>
      <c r="T1113" s="1">
        <v>5631</v>
      </c>
      <c r="U1113" s="1">
        <v>1524</v>
      </c>
      <c r="V1113" s="1">
        <v>1524</v>
      </c>
      <c r="AH1113" s="1">
        <v>4107</v>
      </c>
      <c r="AI1113" s="1">
        <v>4107</v>
      </c>
    </row>
    <row r="1114" spans="1:44" x14ac:dyDescent="0.2">
      <c r="A1114" s="1" t="s">
        <v>979</v>
      </c>
      <c r="B1114" s="1">
        <v>19578366</v>
      </c>
      <c r="C1114" s="1" t="s">
        <v>7420</v>
      </c>
      <c r="E1114" s="21">
        <v>405</v>
      </c>
      <c r="G1114" s="1" t="s">
        <v>981</v>
      </c>
      <c r="H1114" s="1" t="s">
        <v>436</v>
      </c>
      <c r="I1114" s="5">
        <v>39999</v>
      </c>
      <c r="J1114" s="18" t="s">
        <v>11</v>
      </c>
      <c r="K1114" s="1" t="s">
        <v>28</v>
      </c>
      <c r="L1114" s="1" t="s">
        <v>980</v>
      </c>
      <c r="M1114" s="5"/>
      <c r="N1114" s="5" t="s">
        <v>10</v>
      </c>
      <c r="O1114" s="5" t="s">
        <v>10</v>
      </c>
      <c r="P1114" s="1" t="s">
        <v>3543</v>
      </c>
      <c r="Q1114" s="1" t="s">
        <v>3544</v>
      </c>
      <c r="R1114" s="2" t="s">
        <v>4634</v>
      </c>
      <c r="S1114" s="1" t="s">
        <v>6243</v>
      </c>
      <c r="T1114" s="1">
        <v>5034</v>
      </c>
      <c r="U1114" s="1">
        <v>4684</v>
      </c>
      <c r="V1114" s="1">
        <v>4684</v>
      </c>
      <c r="AH1114" s="1">
        <v>350</v>
      </c>
      <c r="AI1114" s="1">
        <v>350</v>
      </c>
    </row>
    <row r="1115" spans="1:44" x14ac:dyDescent="0.2">
      <c r="A1115" s="1" t="s">
        <v>982</v>
      </c>
      <c r="B1115" s="1">
        <v>19578367</v>
      </c>
      <c r="C1115" s="1" t="s">
        <v>7420</v>
      </c>
      <c r="E1115" s="21">
        <v>51</v>
      </c>
      <c r="G1115" s="1" t="s">
        <v>981</v>
      </c>
      <c r="H1115" s="1" t="s">
        <v>436</v>
      </c>
      <c r="I1115" s="5">
        <v>39999</v>
      </c>
      <c r="J1115" s="18" t="s">
        <v>11</v>
      </c>
      <c r="K1115" s="1" t="s">
        <v>28</v>
      </c>
      <c r="L1115" s="1" t="s">
        <v>983</v>
      </c>
      <c r="M1115" s="5"/>
      <c r="N1115" s="5" t="s">
        <v>10</v>
      </c>
      <c r="O1115" s="5" t="s">
        <v>10</v>
      </c>
      <c r="P1115" s="1" t="s">
        <v>3772</v>
      </c>
      <c r="Q1115" s="1" t="s">
        <v>4131</v>
      </c>
      <c r="R1115" s="2" t="s">
        <v>4408</v>
      </c>
      <c r="S1115" s="1" t="s">
        <v>6243</v>
      </c>
      <c r="T1115" s="1">
        <v>11046</v>
      </c>
      <c r="U1115" s="1">
        <v>5548</v>
      </c>
      <c r="V1115" s="1">
        <v>5548</v>
      </c>
      <c r="AH1115" s="1">
        <v>5498</v>
      </c>
      <c r="AI1115" s="1">
        <v>5498</v>
      </c>
    </row>
    <row r="1116" spans="1:44" x14ac:dyDescent="0.2">
      <c r="A1116" s="1" t="s">
        <v>966</v>
      </c>
      <c r="B1116" s="1">
        <v>19581569</v>
      </c>
      <c r="C1116" s="1" t="s">
        <v>7420</v>
      </c>
      <c r="E1116" s="21">
        <v>141</v>
      </c>
      <c r="G1116" s="1" t="s">
        <v>968</v>
      </c>
      <c r="H1116" s="1" t="s">
        <v>7207</v>
      </c>
      <c r="I1116" s="5">
        <v>39995</v>
      </c>
      <c r="J1116" s="18" t="s">
        <v>11</v>
      </c>
      <c r="K1116" s="1" t="s">
        <v>361</v>
      </c>
      <c r="L1116" s="1" t="s">
        <v>967</v>
      </c>
      <c r="M1116" s="5"/>
      <c r="N1116" s="5" t="s">
        <v>10</v>
      </c>
      <c r="O1116" s="5" t="s">
        <v>10</v>
      </c>
      <c r="P1116" s="1" t="s">
        <v>4080</v>
      </c>
      <c r="Q1116" s="1" t="s">
        <v>4081</v>
      </c>
      <c r="R1116" s="2" t="s">
        <v>4478</v>
      </c>
      <c r="S1116" s="1" t="s">
        <v>6243</v>
      </c>
      <c r="T1116" s="1">
        <v>3854</v>
      </c>
      <c r="U1116" s="1">
        <v>1834</v>
      </c>
      <c r="V1116" s="1">
        <v>1834</v>
      </c>
      <c r="AH1116" s="1">
        <v>2020</v>
      </c>
      <c r="AI1116" s="1">
        <v>2020</v>
      </c>
    </row>
    <row r="1117" spans="1:44" x14ac:dyDescent="0.2">
      <c r="A1117" s="1" t="s">
        <v>245</v>
      </c>
      <c r="B1117" s="1">
        <v>19584346</v>
      </c>
      <c r="C1117" s="1" t="s">
        <v>7420</v>
      </c>
      <c r="E1117" s="21">
        <v>492</v>
      </c>
      <c r="G1117" s="1" t="s">
        <v>6782</v>
      </c>
      <c r="H1117" s="1" t="s">
        <v>7242</v>
      </c>
      <c r="I1117" s="5">
        <v>40002</v>
      </c>
      <c r="J1117" s="18" t="s">
        <v>11</v>
      </c>
      <c r="K1117" s="1" t="s">
        <v>699</v>
      </c>
      <c r="L1117" s="1" t="s">
        <v>984</v>
      </c>
      <c r="M1117" s="5"/>
      <c r="N1117" s="5" t="s">
        <v>10</v>
      </c>
      <c r="O1117" s="5" t="s">
        <v>10</v>
      </c>
      <c r="P1117" s="1" t="s">
        <v>5119</v>
      </c>
      <c r="Q1117" s="1" t="s">
        <v>5120</v>
      </c>
      <c r="R1117" s="2" t="s">
        <v>868</v>
      </c>
      <c r="S1117" s="1" t="s">
        <v>6243</v>
      </c>
      <c r="T1117" s="1">
        <v>16706</v>
      </c>
      <c r="U1117" s="1">
        <v>12612</v>
      </c>
      <c r="V1117" s="1">
        <v>12612</v>
      </c>
      <c r="AH1117" s="1">
        <v>4094</v>
      </c>
      <c r="AI1117" s="1">
        <v>4094</v>
      </c>
    </row>
    <row r="1118" spans="1:44" x14ac:dyDescent="0.2">
      <c r="A1118" s="1" t="s">
        <v>987</v>
      </c>
      <c r="B1118" s="1">
        <v>19584900</v>
      </c>
      <c r="C1118" s="1" t="s">
        <v>7420</v>
      </c>
      <c r="E1118" s="21">
        <v>88</v>
      </c>
      <c r="G1118" s="1" t="s">
        <v>370</v>
      </c>
      <c r="H1118" s="1" t="s">
        <v>7229</v>
      </c>
      <c r="I1118" s="5">
        <v>40002</v>
      </c>
      <c r="J1118" s="18" t="s">
        <v>11</v>
      </c>
      <c r="K1118" s="1" t="s">
        <v>592</v>
      </c>
      <c r="L1118" s="1" t="s">
        <v>985</v>
      </c>
      <c r="M1118" s="5"/>
      <c r="N1118" s="5" t="s">
        <v>10</v>
      </c>
      <c r="O1118" s="5" t="s">
        <v>10</v>
      </c>
      <c r="P1118" s="1" t="s">
        <v>986</v>
      </c>
      <c r="Q1118" s="1" t="s">
        <v>33</v>
      </c>
      <c r="R1118" s="2" t="s">
        <v>5034</v>
      </c>
      <c r="S1118" s="1" t="s">
        <v>6243</v>
      </c>
      <c r="T1118" s="1">
        <v>948</v>
      </c>
      <c r="U1118" s="1">
        <v>948</v>
      </c>
      <c r="V1118" s="1">
        <v>948</v>
      </c>
    </row>
    <row r="1119" spans="1:44" x14ac:dyDescent="0.2">
      <c r="A1119" s="1" t="s">
        <v>7119</v>
      </c>
      <c r="B1119" s="1">
        <v>19587794</v>
      </c>
      <c r="C1119" s="1" t="s">
        <v>7420</v>
      </c>
      <c r="E1119" s="21">
        <v>40</v>
      </c>
      <c r="G1119" s="1" t="s">
        <v>6757</v>
      </c>
      <c r="H1119" s="1" t="s">
        <v>7252</v>
      </c>
      <c r="I1119" s="5">
        <v>40003</v>
      </c>
      <c r="J1119" s="18" t="s">
        <v>11</v>
      </c>
      <c r="K1119" s="1" t="s">
        <v>181</v>
      </c>
      <c r="L1119" s="1" t="s">
        <v>988</v>
      </c>
      <c r="M1119" s="5"/>
      <c r="N1119" s="5" t="s">
        <v>10</v>
      </c>
      <c r="O1119" s="5" t="s">
        <v>10</v>
      </c>
      <c r="P1119" s="1" t="s">
        <v>6158</v>
      </c>
      <c r="Q1119" s="1" t="s">
        <v>6159</v>
      </c>
      <c r="R1119" s="2" t="s">
        <v>4914</v>
      </c>
      <c r="S1119" s="1" t="s">
        <v>6243</v>
      </c>
      <c r="T1119" s="1">
        <v>33085</v>
      </c>
      <c r="U1119" s="1">
        <v>3558</v>
      </c>
      <c r="V1119" s="1">
        <v>3558</v>
      </c>
      <c r="AH1119" s="1">
        <v>29527</v>
      </c>
      <c r="AI1119" s="1">
        <v>29527</v>
      </c>
    </row>
    <row r="1120" spans="1:44" x14ac:dyDescent="0.2">
      <c r="A1120" s="1" t="s">
        <v>166</v>
      </c>
      <c r="B1120" s="1">
        <v>19597491</v>
      </c>
      <c r="C1120" s="1" t="s">
        <v>7420</v>
      </c>
      <c r="E1120" s="21">
        <v>12</v>
      </c>
      <c r="G1120" s="1" t="s">
        <v>169</v>
      </c>
      <c r="H1120" s="1" t="s">
        <v>7167</v>
      </c>
      <c r="I1120" s="5">
        <v>40007</v>
      </c>
      <c r="J1120" s="18" t="s">
        <v>11</v>
      </c>
      <c r="K1120" s="1" t="s">
        <v>28</v>
      </c>
      <c r="L1120" s="1" t="s">
        <v>989</v>
      </c>
      <c r="M1120" s="5"/>
      <c r="N1120" s="5" t="s">
        <v>10</v>
      </c>
      <c r="O1120" s="5" t="s">
        <v>10</v>
      </c>
      <c r="P1120" s="1" t="s">
        <v>4350</v>
      </c>
      <c r="Q1120" s="1" t="s">
        <v>4351</v>
      </c>
      <c r="R1120" s="2" t="s">
        <v>4352</v>
      </c>
      <c r="S1120" s="1" t="s">
        <v>6243</v>
      </c>
      <c r="T1120" s="1">
        <v>41943</v>
      </c>
      <c r="U1120" s="1">
        <v>36137</v>
      </c>
      <c r="V1120" s="1">
        <v>36137</v>
      </c>
      <c r="AH1120" s="1">
        <v>5806</v>
      </c>
      <c r="AI1120" s="1">
        <v>5806</v>
      </c>
    </row>
    <row r="1121" spans="1:37" x14ac:dyDescent="0.2">
      <c r="A1121" s="1" t="s">
        <v>223</v>
      </c>
      <c r="B1121" s="1">
        <v>19597492</v>
      </c>
      <c r="C1121" s="1" t="s">
        <v>7420</v>
      </c>
      <c r="D1121" s="1" t="s">
        <v>7411</v>
      </c>
      <c r="E1121" s="21">
        <v>3</v>
      </c>
      <c r="G1121" s="1" t="s">
        <v>991</v>
      </c>
      <c r="H1121" s="1" t="s">
        <v>7167</v>
      </c>
      <c r="I1121" s="5">
        <v>40007</v>
      </c>
      <c r="J1121" s="18" t="s">
        <v>11</v>
      </c>
      <c r="K1121" s="1" t="s">
        <v>28</v>
      </c>
      <c r="L1121" s="1" t="s">
        <v>990</v>
      </c>
      <c r="M1121" s="5"/>
      <c r="N1121" s="5" t="s">
        <v>10</v>
      </c>
      <c r="O1121" s="5" t="s">
        <v>10</v>
      </c>
      <c r="P1121" s="1" t="s">
        <v>3697</v>
      </c>
      <c r="Q1121" s="1" t="s">
        <v>4414</v>
      </c>
      <c r="R1121" s="2" t="s">
        <v>868</v>
      </c>
      <c r="S1121" s="1" t="s">
        <v>6243</v>
      </c>
      <c r="T1121" s="1">
        <v>46736</v>
      </c>
      <c r="U1121" s="1">
        <v>40518</v>
      </c>
      <c r="V1121" s="1">
        <v>40518</v>
      </c>
      <c r="AH1121" s="1">
        <v>6218</v>
      </c>
      <c r="AI1121" s="1">
        <v>6218</v>
      </c>
    </row>
    <row r="1122" spans="1:37" x14ac:dyDescent="0.2">
      <c r="A1122" s="1" t="s">
        <v>992</v>
      </c>
      <c r="B1122" s="1">
        <v>19609347</v>
      </c>
      <c r="C1122" s="1" t="s">
        <v>7420</v>
      </c>
      <c r="E1122" s="21">
        <v>273</v>
      </c>
      <c r="G1122" s="1" t="s">
        <v>655</v>
      </c>
      <c r="H1122" s="1" t="s">
        <v>7222</v>
      </c>
      <c r="I1122" s="5">
        <v>40011</v>
      </c>
      <c r="J1122" s="18" t="s">
        <v>11</v>
      </c>
      <c r="K1122" s="1" t="s">
        <v>65</v>
      </c>
      <c r="L1122" s="1" t="s">
        <v>993</v>
      </c>
      <c r="M1122" s="5"/>
      <c r="N1122" s="5" t="s">
        <v>10</v>
      </c>
      <c r="O1122" s="5" t="s">
        <v>10</v>
      </c>
      <c r="P1122" s="1" t="s">
        <v>994</v>
      </c>
      <c r="Q1122" s="1" t="s">
        <v>995</v>
      </c>
      <c r="R1122" s="2" t="s">
        <v>4838</v>
      </c>
      <c r="S1122" s="1" t="s">
        <v>6440</v>
      </c>
      <c r="T1122" s="1">
        <v>1997</v>
      </c>
      <c r="U1122" s="1">
        <v>1017</v>
      </c>
      <c r="W1122" s="1">
        <v>1017</v>
      </c>
      <c r="AH1122" s="1">
        <v>980</v>
      </c>
      <c r="AJ1122" s="1">
        <v>980</v>
      </c>
    </row>
    <row r="1123" spans="1:37" x14ac:dyDescent="0.2">
      <c r="A1123" s="1" t="s">
        <v>996</v>
      </c>
      <c r="B1123" s="1">
        <v>19620980</v>
      </c>
      <c r="C1123" s="1" t="s">
        <v>7420</v>
      </c>
      <c r="E1123" s="21">
        <v>142</v>
      </c>
      <c r="G1123" s="1" t="s">
        <v>6882</v>
      </c>
      <c r="H1123" s="1" t="s">
        <v>6820</v>
      </c>
      <c r="I1123" s="5">
        <v>40014</v>
      </c>
      <c r="J1123" s="18" t="s">
        <v>11</v>
      </c>
      <c r="K1123" s="1" t="s">
        <v>28</v>
      </c>
      <c r="L1123" s="1" t="s">
        <v>997</v>
      </c>
      <c r="M1123" s="5"/>
      <c r="N1123" s="5" t="s">
        <v>10</v>
      </c>
      <c r="O1123" s="5" t="s">
        <v>10</v>
      </c>
      <c r="P1123" s="1" t="s">
        <v>5153</v>
      </c>
      <c r="Q1123" s="1" t="s">
        <v>5154</v>
      </c>
      <c r="R1123" s="2" t="s">
        <v>4993</v>
      </c>
      <c r="S1123" s="1" t="s">
        <v>6243</v>
      </c>
      <c r="T1123" s="1">
        <v>4022</v>
      </c>
      <c r="U1123" s="1">
        <v>781</v>
      </c>
      <c r="V1123" s="1">
        <v>781</v>
      </c>
      <c r="AH1123" s="1">
        <v>3241</v>
      </c>
      <c r="AI1123" s="1">
        <v>3241</v>
      </c>
    </row>
    <row r="1124" spans="1:37" x14ac:dyDescent="0.2">
      <c r="A1124" s="1" t="s">
        <v>998</v>
      </c>
      <c r="B1124" s="1">
        <v>19625618</v>
      </c>
      <c r="C1124" s="1" t="s">
        <v>7420</v>
      </c>
      <c r="E1124" s="21">
        <v>6</v>
      </c>
      <c r="G1124" s="1" t="s">
        <v>6755</v>
      </c>
      <c r="H1124" s="1" t="s">
        <v>1414</v>
      </c>
      <c r="I1124" s="5">
        <v>40016</v>
      </c>
      <c r="J1124" s="18" t="s">
        <v>11</v>
      </c>
      <c r="K1124" s="1" t="s">
        <v>210</v>
      </c>
      <c r="L1124" s="1" t="s">
        <v>999</v>
      </c>
      <c r="M1124" s="5"/>
      <c r="N1124" s="5" t="s">
        <v>10</v>
      </c>
      <c r="O1124" s="5" t="s">
        <v>10</v>
      </c>
      <c r="P1124" s="1" t="s">
        <v>1000</v>
      </c>
      <c r="Q1124" s="1" t="s">
        <v>1001</v>
      </c>
      <c r="R1124" s="2" t="s">
        <v>4074</v>
      </c>
      <c r="S1124" s="1" t="s">
        <v>6242</v>
      </c>
      <c r="T1124" s="1">
        <v>1575</v>
      </c>
      <c r="U1124" s="1">
        <v>718</v>
      </c>
      <c r="X1124" s="1">
        <v>718</v>
      </c>
      <c r="AH1124" s="1">
        <v>857</v>
      </c>
      <c r="AK1124" s="1">
        <v>857</v>
      </c>
    </row>
    <row r="1125" spans="1:37" x14ac:dyDescent="0.2">
      <c r="A1125" s="1" t="s">
        <v>1003</v>
      </c>
      <c r="B1125" s="1">
        <v>19644074</v>
      </c>
      <c r="C1125" s="1" t="s">
        <v>7420</v>
      </c>
      <c r="E1125" s="21">
        <v>1637</v>
      </c>
      <c r="F1125" s="17">
        <v>1</v>
      </c>
      <c r="G1125" s="1" t="s">
        <v>6825</v>
      </c>
      <c r="H1125" s="1" t="s">
        <v>7347</v>
      </c>
      <c r="I1125" s="5">
        <v>40024</v>
      </c>
      <c r="J1125" s="18" t="s">
        <v>10</v>
      </c>
      <c r="K1125" s="1" t="s">
        <v>25</v>
      </c>
      <c r="L1125" s="1" t="s">
        <v>2843</v>
      </c>
      <c r="M1125" s="5"/>
      <c r="N1125" s="5" t="s">
        <v>10</v>
      </c>
      <c r="O1125" s="5" t="s">
        <v>10</v>
      </c>
      <c r="P1125" s="9" t="s">
        <v>3328</v>
      </c>
      <c r="Q1125" s="1" t="s">
        <v>33</v>
      </c>
      <c r="R1125" s="10" t="s">
        <v>5815</v>
      </c>
      <c r="S1125" s="1" t="s">
        <v>6243</v>
      </c>
      <c r="T1125" s="1">
        <v>255</v>
      </c>
      <c r="U1125" s="1">
        <v>255</v>
      </c>
      <c r="V1125" s="1">
        <v>255</v>
      </c>
    </row>
    <row r="1126" spans="1:37" x14ac:dyDescent="0.2">
      <c r="A1126" s="1" t="s">
        <v>1010</v>
      </c>
      <c r="B1126" s="1">
        <v>19648918</v>
      </c>
      <c r="C1126" s="1" t="s">
        <v>7420</v>
      </c>
      <c r="E1126" s="21">
        <v>10</v>
      </c>
      <c r="G1126" s="1" t="s">
        <v>1012</v>
      </c>
      <c r="H1126" s="1" t="s">
        <v>7415</v>
      </c>
      <c r="I1126" s="5">
        <v>40027</v>
      </c>
      <c r="J1126" s="18" t="s">
        <v>11</v>
      </c>
      <c r="K1126" s="1" t="s">
        <v>28</v>
      </c>
      <c r="L1126" s="1" t="s">
        <v>1011</v>
      </c>
      <c r="M1126" s="5"/>
      <c r="N1126" s="5" t="s">
        <v>10</v>
      </c>
      <c r="O1126" s="5" t="s">
        <v>10</v>
      </c>
      <c r="P1126" s="1" t="s">
        <v>5096</v>
      </c>
      <c r="Q1126" s="1" t="s">
        <v>5097</v>
      </c>
      <c r="R1126" s="2" t="s">
        <v>4813</v>
      </c>
      <c r="S1126" s="1" t="s">
        <v>6243</v>
      </c>
      <c r="T1126" s="1">
        <v>7823</v>
      </c>
      <c r="U1126" s="1">
        <v>3576</v>
      </c>
      <c r="V1126" s="1">
        <v>3576</v>
      </c>
      <c r="AH1126" s="1">
        <v>4247</v>
      </c>
      <c r="AI1126" s="1">
        <v>4247</v>
      </c>
    </row>
    <row r="1127" spans="1:37" x14ac:dyDescent="0.2">
      <c r="A1127" s="1" t="s">
        <v>946</v>
      </c>
      <c r="B1127" s="1">
        <v>19648919</v>
      </c>
      <c r="C1127" s="1" t="s">
        <v>7420</v>
      </c>
      <c r="E1127" s="21">
        <v>20</v>
      </c>
      <c r="G1127" s="1" t="s">
        <v>947</v>
      </c>
      <c r="H1127" s="1" t="s">
        <v>6686</v>
      </c>
      <c r="I1127" s="5">
        <v>40027</v>
      </c>
      <c r="J1127" s="18" t="s">
        <v>11</v>
      </c>
      <c r="K1127" s="1" t="s">
        <v>28</v>
      </c>
      <c r="L1127" s="1" t="s">
        <v>1013</v>
      </c>
      <c r="M1127" s="5"/>
      <c r="N1127" s="5" t="s">
        <v>11</v>
      </c>
      <c r="O1127" s="5" t="s">
        <v>11</v>
      </c>
      <c r="P1127" s="1" t="s">
        <v>5102</v>
      </c>
      <c r="Q1127" s="1" t="s">
        <v>5103</v>
      </c>
      <c r="R1127" s="2" t="s">
        <v>4976</v>
      </c>
      <c r="S1127" s="1" t="s">
        <v>6243</v>
      </c>
      <c r="T1127" s="1">
        <v>20591</v>
      </c>
      <c r="U1127" s="1">
        <v>4170</v>
      </c>
      <c r="V1127" s="1">
        <v>4170</v>
      </c>
      <c r="AH1127" s="1">
        <v>16421</v>
      </c>
      <c r="AI1127" s="1">
        <v>16421</v>
      </c>
    </row>
    <row r="1128" spans="1:37" x14ac:dyDescent="0.2">
      <c r="A1128" s="1" t="s">
        <v>1014</v>
      </c>
      <c r="B1128" s="1">
        <v>19648920</v>
      </c>
      <c r="C1128" s="1" t="s">
        <v>7420</v>
      </c>
      <c r="E1128" s="21">
        <v>73</v>
      </c>
      <c r="G1128" s="1" t="s">
        <v>1016</v>
      </c>
      <c r="H1128" s="1" t="s">
        <v>525</v>
      </c>
      <c r="I1128" s="5">
        <v>40027</v>
      </c>
      <c r="J1128" s="18" t="s">
        <v>11</v>
      </c>
      <c r="K1128" s="1" t="s">
        <v>28</v>
      </c>
      <c r="L1128" s="1" t="s">
        <v>1015</v>
      </c>
      <c r="M1128" s="5"/>
      <c r="N1128" s="5" t="s">
        <v>10</v>
      </c>
      <c r="O1128" s="5" t="s">
        <v>10</v>
      </c>
      <c r="P1128" s="1" t="s">
        <v>6193</v>
      </c>
      <c r="Q1128" s="1" t="s">
        <v>4859</v>
      </c>
      <c r="R1128" s="2" t="s">
        <v>4693</v>
      </c>
      <c r="S1128" s="1" t="s">
        <v>6243</v>
      </c>
      <c r="T1128" s="1">
        <v>46257</v>
      </c>
      <c r="U1128" s="1">
        <v>1926</v>
      </c>
      <c r="V1128" s="1">
        <v>1926</v>
      </c>
      <c r="AH1128" s="1">
        <v>44331</v>
      </c>
      <c r="AI1128" s="1">
        <v>44331</v>
      </c>
    </row>
    <row r="1129" spans="1:37" x14ac:dyDescent="0.2">
      <c r="A1129" s="1" t="s">
        <v>418</v>
      </c>
      <c r="B1129" s="1">
        <v>19651812</v>
      </c>
      <c r="C1129" s="1" t="s">
        <v>7420</v>
      </c>
      <c r="E1129" s="21">
        <v>35</v>
      </c>
      <c r="G1129" s="1" t="s">
        <v>6995</v>
      </c>
      <c r="H1129" s="1" t="s">
        <v>7382</v>
      </c>
      <c r="I1129" s="5">
        <v>40028</v>
      </c>
      <c r="J1129" s="18" t="s">
        <v>11</v>
      </c>
      <c r="K1129" s="1" t="s">
        <v>90</v>
      </c>
      <c r="L1129" s="1" t="s">
        <v>1019</v>
      </c>
      <c r="M1129" s="5"/>
      <c r="N1129" s="5" t="s">
        <v>10</v>
      </c>
      <c r="O1129" s="5" t="s">
        <v>10</v>
      </c>
      <c r="P1129" s="1" t="s">
        <v>4767</v>
      </c>
      <c r="Q1129" s="1" t="s">
        <v>4492</v>
      </c>
      <c r="R1129" s="2" t="s">
        <v>4493</v>
      </c>
      <c r="S1129" s="1" t="s">
        <v>6244</v>
      </c>
      <c r="T1129" s="1">
        <v>11936</v>
      </c>
      <c r="U1129" s="1">
        <v>7474</v>
      </c>
      <c r="Y1129" s="1">
        <v>7474</v>
      </c>
      <c r="AH1129" s="1">
        <v>4462</v>
      </c>
      <c r="AI1129" s="1">
        <v>4462</v>
      </c>
    </row>
    <row r="1130" spans="1:37" x14ac:dyDescent="0.2">
      <c r="A1130" s="1" t="s">
        <v>271</v>
      </c>
      <c r="B1130" s="1">
        <v>19654303</v>
      </c>
      <c r="C1130" s="1" t="s">
        <v>7420</v>
      </c>
      <c r="E1130" s="21">
        <v>79</v>
      </c>
      <c r="G1130" s="1" t="s">
        <v>54</v>
      </c>
      <c r="H1130" s="1" t="s">
        <v>1809</v>
      </c>
      <c r="I1130" s="5">
        <v>40029</v>
      </c>
      <c r="J1130" s="18" t="s">
        <v>11</v>
      </c>
      <c r="K1130" s="1" t="s">
        <v>662</v>
      </c>
      <c r="L1130" s="1" t="s">
        <v>1020</v>
      </c>
      <c r="M1130" s="5"/>
      <c r="N1130" s="5" t="s">
        <v>10</v>
      </c>
      <c r="O1130" s="5" t="s">
        <v>10</v>
      </c>
      <c r="P1130" s="1" t="s">
        <v>4024</v>
      </c>
      <c r="Q1130" s="1" t="s">
        <v>4649</v>
      </c>
      <c r="R1130" s="2" t="s">
        <v>4025</v>
      </c>
      <c r="S1130" s="1" t="s">
        <v>6243</v>
      </c>
      <c r="T1130" s="1">
        <v>15765</v>
      </c>
      <c r="U1130" s="1">
        <v>3390</v>
      </c>
      <c r="V1130" s="1">
        <v>3390</v>
      </c>
      <c r="AH1130" s="1">
        <v>12375</v>
      </c>
      <c r="AI1130" s="1">
        <v>12375</v>
      </c>
    </row>
    <row r="1131" spans="1:37" x14ac:dyDescent="0.2">
      <c r="A1131" s="1" t="s">
        <v>1021</v>
      </c>
      <c r="B1131" s="1">
        <v>19654370</v>
      </c>
      <c r="C1131" s="1" t="s">
        <v>7420</v>
      </c>
      <c r="E1131" s="21">
        <v>1124</v>
      </c>
      <c r="F1131" s="17">
        <v>1</v>
      </c>
      <c r="G1131" s="1" t="s">
        <v>1022</v>
      </c>
      <c r="H1131" s="1" t="s">
        <v>7361</v>
      </c>
      <c r="I1131" s="5">
        <v>40029</v>
      </c>
      <c r="J1131" s="18" t="s">
        <v>10</v>
      </c>
      <c r="K1131" s="1" t="s">
        <v>1817</v>
      </c>
      <c r="L1131" s="1" t="s">
        <v>2844</v>
      </c>
      <c r="M1131" s="5"/>
      <c r="N1131" s="5" t="s">
        <v>10</v>
      </c>
      <c r="O1131" s="5" t="s">
        <v>10</v>
      </c>
      <c r="P1131" s="2" t="s">
        <v>3343</v>
      </c>
      <c r="Q1131" s="1" t="s">
        <v>3344</v>
      </c>
      <c r="R1131" s="10" t="s">
        <v>5822</v>
      </c>
      <c r="S1131" s="1" t="s">
        <v>6243</v>
      </c>
      <c r="T1131" s="1">
        <v>5199</v>
      </c>
      <c r="U1131" s="1">
        <v>95</v>
      </c>
      <c r="V1131" s="1">
        <v>95</v>
      </c>
      <c r="AH1131" s="1">
        <v>5104</v>
      </c>
      <c r="AI1131" s="1">
        <v>5104</v>
      </c>
    </row>
    <row r="1132" spans="1:37" x14ac:dyDescent="0.2">
      <c r="A1132" s="1" t="s">
        <v>563</v>
      </c>
      <c r="B1132" s="1">
        <v>19656524</v>
      </c>
      <c r="C1132" s="1" t="s">
        <v>7420</v>
      </c>
      <c r="D1132" s="1" t="s">
        <v>7411</v>
      </c>
      <c r="E1132" s="21">
        <v>3</v>
      </c>
      <c r="G1132" s="1" t="s">
        <v>7106</v>
      </c>
      <c r="H1132" s="1" t="s">
        <v>6797</v>
      </c>
      <c r="I1132" s="5">
        <v>40028</v>
      </c>
      <c r="J1132" s="18" t="s">
        <v>11</v>
      </c>
      <c r="K1132" s="1" t="s">
        <v>1017</v>
      </c>
      <c r="L1132" s="1" t="s">
        <v>1018</v>
      </c>
      <c r="M1132" s="5"/>
      <c r="N1132" s="5" t="s">
        <v>10</v>
      </c>
      <c r="O1132" s="5" t="s">
        <v>10</v>
      </c>
      <c r="P1132" s="1" t="s">
        <v>5112</v>
      </c>
      <c r="Q1132" s="1" t="s">
        <v>33</v>
      </c>
      <c r="R1132" s="2" t="s">
        <v>4560</v>
      </c>
      <c r="S1132" s="1" t="s">
        <v>6243</v>
      </c>
      <c r="T1132" s="1">
        <v>6062</v>
      </c>
      <c r="U1132" s="1">
        <v>6062</v>
      </c>
      <c r="V1132" s="1">
        <v>6062</v>
      </c>
    </row>
    <row r="1133" spans="1:37" x14ac:dyDescent="0.2">
      <c r="A1133" s="1" t="s">
        <v>1023</v>
      </c>
      <c r="B1133" s="1">
        <v>19664746</v>
      </c>
      <c r="C1133" s="1" t="s">
        <v>7420</v>
      </c>
      <c r="E1133" s="21">
        <v>43</v>
      </c>
      <c r="G1133" s="1" t="s">
        <v>916</v>
      </c>
      <c r="H1133" s="1" t="s">
        <v>7102</v>
      </c>
      <c r="I1133" s="5">
        <v>40030</v>
      </c>
      <c r="J1133" s="18" t="s">
        <v>11</v>
      </c>
      <c r="K1133" s="1" t="s">
        <v>16</v>
      </c>
      <c r="L1133" s="1" t="s">
        <v>1024</v>
      </c>
      <c r="M1133" s="5"/>
      <c r="N1133" s="5" t="s">
        <v>10</v>
      </c>
      <c r="O1133" s="5" t="s">
        <v>10</v>
      </c>
      <c r="P1133" s="1" t="s">
        <v>1025</v>
      </c>
      <c r="Q1133" s="1" t="s">
        <v>4051</v>
      </c>
      <c r="R1133" s="2" t="s">
        <v>5008</v>
      </c>
      <c r="S1133" s="1" t="s">
        <v>6242</v>
      </c>
      <c r="T1133" s="1">
        <v>2837</v>
      </c>
      <c r="U1133" s="1">
        <v>562</v>
      </c>
      <c r="X1133" s="1">
        <v>562</v>
      </c>
      <c r="AH1133" s="1">
        <v>2275</v>
      </c>
      <c r="AK1133" s="1">
        <v>2275</v>
      </c>
    </row>
    <row r="1134" spans="1:37" x14ac:dyDescent="0.2">
      <c r="A1134" s="1" t="s">
        <v>575</v>
      </c>
      <c r="B1134" s="1">
        <v>19667218</v>
      </c>
      <c r="C1134" s="1" t="s">
        <v>7420</v>
      </c>
      <c r="E1134" s="21">
        <v>45</v>
      </c>
      <c r="G1134" s="1" t="s">
        <v>332</v>
      </c>
      <c r="H1134" s="1" t="s">
        <v>7182</v>
      </c>
      <c r="I1134" s="5">
        <v>40026</v>
      </c>
      <c r="J1134" s="18" t="s">
        <v>11</v>
      </c>
      <c r="K1134" s="1" t="s">
        <v>290</v>
      </c>
      <c r="L1134" s="1" t="s">
        <v>1004</v>
      </c>
      <c r="M1134" s="5"/>
      <c r="N1134" s="5" t="s">
        <v>10</v>
      </c>
      <c r="O1134" s="5" t="s">
        <v>10</v>
      </c>
      <c r="P1134" s="1" t="s">
        <v>3582</v>
      </c>
      <c r="Q1134" s="1" t="s">
        <v>3583</v>
      </c>
      <c r="R1134" s="2" t="s">
        <v>5967</v>
      </c>
      <c r="S1134" s="1" t="s">
        <v>6243</v>
      </c>
      <c r="T1134" s="1">
        <v>200</v>
      </c>
      <c r="U1134" s="1">
        <v>106</v>
      </c>
      <c r="V1134" s="1">
        <v>106</v>
      </c>
      <c r="AH1134" s="1">
        <v>94</v>
      </c>
      <c r="AI1134" s="1">
        <v>94</v>
      </c>
    </row>
    <row r="1135" spans="1:37" x14ac:dyDescent="0.2">
      <c r="A1135" s="1" t="s">
        <v>609</v>
      </c>
      <c r="B1135" s="1">
        <v>19668339</v>
      </c>
      <c r="C1135" s="1" t="s">
        <v>7420</v>
      </c>
      <c r="E1135" s="21">
        <v>518</v>
      </c>
      <c r="G1135" s="1" t="s">
        <v>89</v>
      </c>
      <c r="H1135" s="1" t="s">
        <v>7126</v>
      </c>
      <c r="I1135" s="5">
        <v>40032</v>
      </c>
      <c r="J1135" s="18" t="s">
        <v>11</v>
      </c>
      <c r="K1135" s="1" t="s">
        <v>181</v>
      </c>
      <c r="L1135" s="1" t="s">
        <v>1026</v>
      </c>
      <c r="M1135" s="5"/>
      <c r="N1135" s="5" t="s">
        <v>10</v>
      </c>
      <c r="O1135" s="5" t="s">
        <v>10</v>
      </c>
      <c r="P1135" s="1" t="s">
        <v>3854</v>
      </c>
      <c r="Q1135" s="1" t="s">
        <v>33</v>
      </c>
      <c r="R1135" s="2" t="s">
        <v>4623</v>
      </c>
      <c r="S1135" s="1" t="s">
        <v>6244</v>
      </c>
      <c r="T1135" s="1">
        <v>381</v>
      </c>
      <c r="U1135" s="1">
        <v>381</v>
      </c>
      <c r="V1135" s="1">
        <v>354</v>
      </c>
      <c r="W1135" s="1">
        <v>21</v>
      </c>
      <c r="X1135" s="1">
        <v>4</v>
      </c>
      <c r="AE1135" s="1">
        <v>2</v>
      </c>
    </row>
    <row r="1136" spans="1:37" x14ac:dyDescent="0.2">
      <c r="A1136" s="1" t="s">
        <v>1866</v>
      </c>
      <c r="B1136" s="1">
        <v>19679847</v>
      </c>
      <c r="C1136" s="1" t="s">
        <v>7420</v>
      </c>
      <c r="E1136" s="21">
        <v>14</v>
      </c>
      <c r="G1136" s="1" t="s">
        <v>2446</v>
      </c>
      <c r="H1136" s="1" t="s">
        <v>7244</v>
      </c>
      <c r="I1136" s="5">
        <v>40038</v>
      </c>
      <c r="J1136" s="18" t="s">
        <v>10</v>
      </c>
      <c r="K1136" s="1" t="s">
        <v>50</v>
      </c>
      <c r="L1136" s="1" t="s">
        <v>2845</v>
      </c>
      <c r="M1136" s="5"/>
      <c r="N1136" s="5" t="s">
        <v>10</v>
      </c>
      <c r="O1136" s="5" t="s">
        <v>10</v>
      </c>
      <c r="P1136" s="1" t="s">
        <v>5254</v>
      </c>
      <c r="Q1136" s="1" t="s">
        <v>33</v>
      </c>
      <c r="R1136" s="2" t="s">
        <v>5754</v>
      </c>
      <c r="S1136" s="1" t="s">
        <v>6244</v>
      </c>
      <c r="T1136" s="1">
        <v>898</v>
      </c>
      <c r="U1136" s="1">
        <v>898</v>
      </c>
      <c r="V1136" s="1">
        <v>268</v>
      </c>
      <c r="X1136" s="1">
        <v>630</v>
      </c>
    </row>
    <row r="1137" spans="1:44" x14ac:dyDescent="0.2">
      <c r="A1137" s="1" t="s">
        <v>1030</v>
      </c>
      <c r="B1137" s="1">
        <v>19680542</v>
      </c>
      <c r="C1137" s="1" t="s">
        <v>7420</v>
      </c>
      <c r="E1137" s="21">
        <v>570</v>
      </c>
      <c r="F1137" s="17">
        <v>1</v>
      </c>
      <c r="G1137" s="1" t="s">
        <v>6830</v>
      </c>
      <c r="H1137" s="1" t="s">
        <v>7362</v>
      </c>
      <c r="I1137" s="5">
        <v>40039</v>
      </c>
      <c r="J1137" s="18" t="s">
        <v>10</v>
      </c>
      <c r="K1137" s="1" t="s">
        <v>65</v>
      </c>
      <c r="L1137" s="1" t="s">
        <v>2846</v>
      </c>
      <c r="M1137" s="5"/>
      <c r="N1137" s="5" t="s">
        <v>10</v>
      </c>
      <c r="O1137" s="5" t="s">
        <v>10</v>
      </c>
      <c r="P1137" s="2" t="s">
        <v>3345</v>
      </c>
      <c r="Q1137" s="1" t="s">
        <v>3346</v>
      </c>
      <c r="R1137" s="2" t="s">
        <v>5789</v>
      </c>
      <c r="S1137" s="1" t="s">
        <v>6243</v>
      </c>
      <c r="T1137" s="1">
        <v>115</v>
      </c>
      <c r="U1137" s="1">
        <v>58</v>
      </c>
      <c r="V1137" s="1">
        <v>58</v>
      </c>
      <c r="AH1137" s="1">
        <v>57</v>
      </c>
      <c r="AI1137" s="1">
        <v>57</v>
      </c>
    </row>
    <row r="1138" spans="1:44" x14ac:dyDescent="0.2">
      <c r="A1138" s="1" t="s">
        <v>1027</v>
      </c>
      <c r="B1138" s="1">
        <v>19680635</v>
      </c>
      <c r="C1138" s="1" t="s">
        <v>7420</v>
      </c>
      <c r="E1138" s="21">
        <v>15</v>
      </c>
      <c r="G1138" s="1" t="s">
        <v>7050</v>
      </c>
      <c r="H1138" s="1" t="s">
        <v>7194</v>
      </c>
      <c r="I1138" s="5">
        <v>40038</v>
      </c>
      <c r="J1138" s="18" t="s">
        <v>11</v>
      </c>
      <c r="K1138" s="1" t="s">
        <v>1028</v>
      </c>
      <c r="L1138" s="1" t="s">
        <v>1029</v>
      </c>
      <c r="M1138" s="5"/>
      <c r="N1138" s="5" t="s">
        <v>10</v>
      </c>
      <c r="O1138" s="5" t="s">
        <v>10</v>
      </c>
      <c r="P1138" s="1" t="s">
        <v>3860</v>
      </c>
      <c r="Q1138" s="1" t="s">
        <v>33</v>
      </c>
      <c r="R1138" s="2" t="s">
        <v>4529</v>
      </c>
      <c r="S1138" s="1" t="s">
        <v>6244</v>
      </c>
      <c r="T1138" s="1">
        <v>397</v>
      </c>
      <c r="U1138" s="1">
        <v>397</v>
      </c>
      <c r="V1138" s="1">
        <v>257</v>
      </c>
      <c r="W1138" s="1">
        <v>129</v>
      </c>
      <c r="AD1138" s="1">
        <v>11</v>
      </c>
    </row>
    <row r="1139" spans="1:44" x14ac:dyDescent="0.2">
      <c r="A1139" s="1" t="s">
        <v>1032</v>
      </c>
      <c r="B1139" s="1">
        <v>19684573</v>
      </c>
      <c r="C1139" s="1" t="s">
        <v>7420</v>
      </c>
      <c r="E1139" s="21">
        <v>201</v>
      </c>
      <c r="G1139" s="1" t="s">
        <v>6938</v>
      </c>
      <c r="H1139" s="1" t="s">
        <v>6612</v>
      </c>
      <c r="I1139" s="5">
        <v>40041</v>
      </c>
      <c r="J1139" s="18" t="s">
        <v>11</v>
      </c>
      <c r="K1139" s="1" t="s">
        <v>58</v>
      </c>
      <c r="L1139" s="1" t="s">
        <v>1031</v>
      </c>
      <c r="M1139" s="5"/>
      <c r="N1139" s="5" t="s">
        <v>10</v>
      </c>
      <c r="O1139" s="5" t="s">
        <v>10</v>
      </c>
      <c r="P1139" s="1" t="s">
        <v>6234</v>
      </c>
      <c r="Q1139" s="1" t="s">
        <v>33</v>
      </c>
      <c r="R1139" s="2" t="s">
        <v>4604</v>
      </c>
      <c r="S1139" s="1" t="s">
        <v>6244</v>
      </c>
      <c r="T1139" s="1">
        <v>1137</v>
      </c>
      <c r="U1139" s="1">
        <v>1137</v>
      </c>
      <c r="V1139" s="1">
        <v>871</v>
      </c>
      <c r="W1139" s="1">
        <v>191</v>
      </c>
      <c r="Z1139" s="1">
        <v>75</v>
      </c>
    </row>
    <row r="1140" spans="1:44" x14ac:dyDescent="0.2">
      <c r="A1140" s="1" t="s">
        <v>1034</v>
      </c>
      <c r="B1140" s="1">
        <v>19684603</v>
      </c>
      <c r="C1140" s="1" t="s">
        <v>7420</v>
      </c>
      <c r="E1140" s="21">
        <v>225</v>
      </c>
      <c r="G1140" s="1" t="s">
        <v>6895</v>
      </c>
      <c r="H1140" s="1" t="s">
        <v>6671</v>
      </c>
      <c r="I1140" s="5">
        <v>40041</v>
      </c>
      <c r="J1140" s="18" t="s">
        <v>11</v>
      </c>
      <c r="K1140" s="1" t="s">
        <v>28</v>
      </c>
      <c r="L1140" s="1" t="s">
        <v>1033</v>
      </c>
      <c r="M1140" s="5"/>
      <c r="N1140" s="5" t="s">
        <v>10</v>
      </c>
      <c r="O1140" s="5" t="s">
        <v>10</v>
      </c>
      <c r="P1140" s="1" t="s">
        <v>5538</v>
      </c>
      <c r="Q1140" s="1" t="s">
        <v>33</v>
      </c>
      <c r="R1140" s="2" t="s">
        <v>4746</v>
      </c>
      <c r="S1140" s="1" t="s">
        <v>6243</v>
      </c>
      <c r="T1140" s="1">
        <v>18275</v>
      </c>
      <c r="U1140" s="1">
        <v>18275</v>
      </c>
      <c r="V1140" s="1">
        <v>18275</v>
      </c>
    </row>
    <row r="1141" spans="1:44" x14ac:dyDescent="0.2">
      <c r="A1141" s="1" t="s">
        <v>1035</v>
      </c>
      <c r="B1141" s="1">
        <v>19684604</v>
      </c>
      <c r="C1141" s="1" t="s">
        <v>7420</v>
      </c>
      <c r="E1141" s="21">
        <v>37</v>
      </c>
      <c r="G1141" s="1" t="s">
        <v>6895</v>
      </c>
      <c r="H1141" s="1" t="s">
        <v>6671</v>
      </c>
      <c r="I1141" s="5">
        <v>40041</v>
      </c>
      <c r="J1141" s="18" t="s">
        <v>11</v>
      </c>
      <c r="K1141" s="1" t="s">
        <v>28</v>
      </c>
      <c r="L1141" s="1" t="s">
        <v>1036</v>
      </c>
      <c r="M1141" s="5"/>
      <c r="N1141" s="5" t="s">
        <v>10</v>
      </c>
      <c r="O1141" s="5" t="s">
        <v>10</v>
      </c>
      <c r="P1141" s="1" t="s">
        <v>4084</v>
      </c>
      <c r="Q1141" s="1" t="s">
        <v>1037</v>
      </c>
      <c r="R1141" s="2" t="s">
        <v>4085</v>
      </c>
      <c r="S1141" s="1" t="s">
        <v>6243</v>
      </c>
      <c r="T1141" s="1">
        <v>3305</v>
      </c>
      <c r="U1141" s="1">
        <v>1941</v>
      </c>
      <c r="V1141" s="1">
        <v>1941</v>
      </c>
      <c r="AH1141" s="1">
        <v>1364</v>
      </c>
      <c r="AI1141" s="1">
        <v>1364</v>
      </c>
    </row>
    <row r="1142" spans="1:44" x14ac:dyDescent="0.2">
      <c r="A1142" s="1" t="s">
        <v>1040</v>
      </c>
      <c r="B1142" s="1">
        <v>19698717</v>
      </c>
      <c r="C1142" s="1" t="s">
        <v>7420</v>
      </c>
      <c r="E1142" s="21">
        <v>12</v>
      </c>
      <c r="G1142" s="1" t="s">
        <v>6958</v>
      </c>
      <c r="H1142" s="1" t="s">
        <v>6959</v>
      </c>
      <c r="I1142" s="5">
        <v>40043</v>
      </c>
      <c r="J1142" s="18" t="s">
        <v>11</v>
      </c>
      <c r="K1142" s="1" t="s">
        <v>477</v>
      </c>
      <c r="L1142" s="1" t="s">
        <v>1038</v>
      </c>
      <c r="M1142" s="5"/>
      <c r="N1142" s="5" t="s">
        <v>10</v>
      </c>
      <c r="O1142" s="5" t="s">
        <v>10</v>
      </c>
      <c r="P1142" s="1" t="s">
        <v>1039</v>
      </c>
      <c r="Q1142" s="1" t="s">
        <v>4035</v>
      </c>
      <c r="R1142" s="2" t="s">
        <v>4901</v>
      </c>
      <c r="S1142" s="1" t="s">
        <v>6242</v>
      </c>
      <c r="T1142" s="1">
        <v>3307</v>
      </c>
      <c r="U1142" s="1">
        <v>1126</v>
      </c>
      <c r="X1142" s="1">
        <v>1126</v>
      </c>
      <c r="AH1142" s="1">
        <v>2181</v>
      </c>
      <c r="AK1142" s="1">
        <v>2181</v>
      </c>
    </row>
    <row r="1143" spans="1:44" x14ac:dyDescent="0.2">
      <c r="A1143" s="1" t="s">
        <v>1043</v>
      </c>
      <c r="B1143" s="1">
        <v>19706858</v>
      </c>
      <c r="C1143" s="1" t="s">
        <v>7420</v>
      </c>
      <c r="E1143" s="22">
        <v>74</v>
      </c>
      <c r="G1143" s="1" t="s">
        <v>7070</v>
      </c>
      <c r="H1143" s="1" t="s">
        <v>7414</v>
      </c>
      <c r="I1143" s="5">
        <v>40051</v>
      </c>
      <c r="J1143" s="18" t="s">
        <v>11</v>
      </c>
      <c r="K1143" s="1" t="s">
        <v>699</v>
      </c>
      <c r="L1143" s="1" t="s">
        <v>1041</v>
      </c>
      <c r="M1143" s="5"/>
      <c r="N1143" s="5" t="s">
        <v>10</v>
      </c>
      <c r="O1143" s="5" t="s">
        <v>10</v>
      </c>
      <c r="P1143" s="1" t="s">
        <v>1042</v>
      </c>
      <c r="Q1143" s="1" t="s">
        <v>5639</v>
      </c>
      <c r="R1143" s="2" t="s">
        <v>5016</v>
      </c>
      <c r="S1143" s="1" t="s">
        <v>6244</v>
      </c>
      <c r="T1143" s="1">
        <v>656</v>
      </c>
      <c r="U1143" s="1">
        <v>429</v>
      </c>
      <c r="V1143" s="1">
        <v>429</v>
      </c>
      <c r="AH1143" s="1">
        <v>227</v>
      </c>
      <c r="AI1143" s="1">
        <v>140</v>
      </c>
      <c r="AJ1143" s="1">
        <v>83</v>
      </c>
      <c r="AR1143" s="1">
        <v>4</v>
      </c>
    </row>
    <row r="1144" spans="1:44" x14ac:dyDescent="0.2">
      <c r="A1144" s="1" t="s">
        <v>1045</v>
      </c>
      <c r="B1144" s="1">
        <v>19714205</v>
      </c>
      <c r="C1144" s="1" t="s">
        <v>7420</v>
      </c>
      <c r="E1144" s="21">
        <v>27</v>
      </c>
      <c r="G1144" s="1" t="s">
        <v>799</v>
      </c>
      <c r="H1144" s="1" t="s">
        <v>7052</v>
      </c>
      <c r="I1144" s="5">
        <v>40053</v>
      </c>
      <c r="J1144" s="18" t="s">
        <v>11</v>
      </c>
      <c r="K1144" s="1" t="s">
        <v>65</v>
      </c>
      <c r="L1144" s="1" t="s">
        <v>1044</v>
      </c>
      <c r="M1144" s="5"/>
      <c r="N1144" s="5" t="s">
        <v>10</v>
      </c>
      <c r="O1144" s="5" t="s">
        <v>10</v>
      </c>
      <c r="P1144" s="1" t="s">
        <v>3873</v>
      </c>
      <c r="Q1144" s="1" t="s">
        <v>3874</v>
      </c>
      <c r="R1144" s="2" t="s">
        <v>5019</v>
      </c>
      <c r="S1144" s="1" t="s">
        <v>6270</v>
      </c>
      <c r="T1144" s="1">
        <v>2007</v>
      </c>
      <c r="U1144" s="1">
        <v>1476</v>
      </c>
      <c r="Z1144" s="1">
        <v>1476</v>
      </c>
      <c r="AH1144" s="1">
        <v>531</v>
      </c>
      <c r="AM1144" s="1">
        <v>531</v>
      </c>
    </row>
    <row r="1145" spans="1:44" x14ac:dyDescent="0.2">
      <c r="A1145" s="1" t="s">
        <v>45</v>
      </c>
      <c r="B1145" s="1">
        <v>19714249</v>
      </c>
      <c r="C1145" s="1" t="s">
        <v>7420</v>
      </c>
      <c r="E1145" s="21">
        <v>30</v>
      </c>
      <c r="G1145" s="1" t="s">
        <v>1002</v>
      </c>
      <c r="H1145" s="1" t="s">
        <v>7012</v>
      </c>
      <c r="I1145" s="5">
        <v>40053</v>
      </c>
      <c r="J1145" s="18" t="s">
        <v>11</v>
      </c>
      <c r="K1145" s="1" t="s">
        <v>181</v>
      </c>
      <c r="L1145" s="1" t="s">
        <v>1046</v>
      </c>
      <c r="M1145" s="5"/>
      <c r="N1145" s="5" t="s">
        <v>11</v>
      </c>
      <c r="O1145" s="5" t="s">
        <v>10</v>
      </c>
      <c r="P1145" s="1" t="s">
        <v>6131</v>
      </c>
      <c r="Q1145" s="1" t="s">
        <v>6132</v>
      </c>
      <c r="R1145" s="2" t="s">
        <v>4865</v>
      </c>
      <c r="S1145" s="1" t="s">
        <v>6243</v>
      </c>
      <c r="T1145" s="1">
        <v>4355</v>
      </c>
      <c r="U1145" s="1">
        <v>1000</v>
      </c>
      <c r="V1145" s="1">
        <v>1000</v>
      </c>
      <c r="AH1145" s="1">
        <v>3355</v>
      </c>
      <c r="AI1145" s="1">
        <v>3355</v>
      </c>
    </row>
    <row r="1146" spans="1:44" x14ac:dyDescent="0.2">
      <c r="A1146" s="1" t="s">
        <v>1058</v>
      </c>
      <c r="B1146" s="1">
        <v>19721433</v>
      </c>
      <c r="C1146" s="1" t="s">
        <v>7420</v>
      </c>
      <c r="E1146" s="21">
        <v>31</v>
      </c>
      <c r="G1146" s="1" t="s">
        <v>6946</v>
      </c>
      <c r="H1146" s="1" t="s">
        <v>1056</v>
      </c>
      <c r="I1146" s="5">
        <v>40057</v>
      </c>
      <c r="J1146" s="18" t="s">
        <v>11</v>
      </c>
      <c r="K1146" s="1" t="s">
        <v>71</v>
      </c>
      <c r="L1146" s="1" t="s">
        <v>1057</v>
      </c>
      <c r="M1146" s="5"/>
      <c r="N1146" s="5" t="s">
        <v>10</v>
      </c>
      <c r="O1146" s="5" t="s">
        <v>10</v>
      </c>
      <c r="P1146" s="1" t="s">
        <v>6398</v>
      </c>
      <c r="Q1146" s="1" t="s">
        <v>33</v>
      </c>
      <c r="R1146" s="2" t="s">
        <v>4156</v>
      </c>
      <c r="S1146" s="1" t="s">
        <v>6244</v>
      </c>
      <c r="T1146" s="1">
        <v>738</v>
      </c>
      <c r="U1146" s="1">
        <v>738</v>
      </c>
      <c r="V1146" s="1">
        <v>417</v>
      </c>
      <c r="W1146" s="1">
        <v>217</v>
      </c>
      <c r="AE1146" s="1">
        <v>104</v>
      </c>
    </row>
    <row r="1147" spans="1:44" x14ac:dyDescent="0.2">
      <c r="A1147" s="1" t="s">
        <v>1052</v>
      </c>
      <c r="B1147" s="1">
        <v>19723657</v>
      </c>
      <c r="C1147" s="1" t="s">
        <v>7420</v>
      </c>
      <c r="E1147" s="21">
        <v>35</v>
      </c>
      <c r="G1147" s="1" t="s">
        <v>145</v>
      </c>
      <c r="H1147" s="1" t="s">
        <v>146</v>
      </c>
      <c r="I1147" s="5">
        <v>40057</v>
      </c>
      <c r="J1147" s="18" t="s">
        <v>11</v>
      </c>
      <c r="K1147" s="1" t="s">
        <v>662</v>
      </c>
      <c r="L1147" s="1" t="s">
        <v>1051</v>
      </c>
      <c r="M1147" s="5"/>
      <c r="N1147" s="5" t="s">
        <v>10</v>
      </c>
      <c r="O1147" s="5" t="s">
        <v>10</v>
      </c>
      <c r="P1147" s="1" t="s">
        <v>5650</v>
      </c>
      <c r="Q1147" s="1" t="s">
        <v>5651</v>
      </c>
      <c r="R1147" s="2" t="s">
        <v>4691</v>
      </c>
      <c r="S1147" s="1" t="s">
        <v>6243</v>
      </c>
      <c r="T1147" s="1">
        <v>4499</v>
      </c>
      <c r="U1147" s="1">
        <v>1850</v>
      </c>
      <c r="V1147" s="1">
        <v>1850</v>
      </c>
      <c r="AH1147" s="1">
        <v>2649</v>
      </c>
      <c r="AI1147" s="1">
        <v>2649</v>
      </c>
    </row>
    <row r="1148" spans="1:44" x14ac:dyDescent="0.2">
      <c r="A1148" s="1" t="s">
        <v>1048</v>
      </c>
      <c r="B1148" s="1">
        <v>19724244</v>
      </c>
      <c r="C1148" s="1" t="s">
        <v>7420</v>
      </c>
      <c r="E1148" s="21">
        <v>8</v>
      </c>
      <c r="G1148" s="1" t="s">
        <v>1049</v>
      </c>
      <c r="H1148" s="1" t="s">
        <v>1050</v>
      </c>
      <c r="I1148" s="5">
        <v>40056</v>
      </c>
      <c r="J1148" s="18" t="s">
        <v>11</v>
      </c>
      <c r="K1148" s="1" t="s">
        <v>294</v>
      </c>
      <c r="L1148" s="1" t="s">
        <v>1047</v>
      </c>
      <c r="M1148" s="5"/>
      <c r="N1148" s="5" t="s">
        <v>10</v>
      </c>
      <c r="O1148" s="5" t="s">
        <v>10</v>
      </c>
      <c r="P1148" s="1" t="s">
        <v>5648</v>
      </c>
      <c r="Q1148" s="1" t="s">
        <v>5649</v>
      </c>
      <c r="R1148" s="2" t="s">
        <v>5033</v>
      </c>
      <c r="S1148" s="1" t="s">
        <v>6243</v>
      </c>
      <c r="T1148" s="1">
        <v>1862</v>
      </c>
      <c r="U1148" s="1">
        <v>180</v>
      </c>
      <c r="V1148" s="1">
        <v>180</v>
      </c>
      <c r="AH1148" s="1">
        <v>1682</v>
      </c>
      <c r="AI1148" s="1">
        <v>1682</v>
      </c>
    </row>
    <row r="1149" spans="1:44" x14ac:dyDescent="0.2">
      <c r="A1149" s="1" t="s">
        <v>1061</v>
      </c>
      <c r="B1149" s="1">
        <v>19727025</v>
      </c>
      <c r="C1149" s="1" t="s">
        <v>7420</v>
      </c>
      <c r="E1149" s="21">
        <v>18</v>
      </c>
      <c r="G1149" s="1" t="s">
        <v>1062</v>
      </c>
      <c r="H1149" s="1" t="s">
        <v>7079</v>
      </c>
      <c r="I1149" s="5">
        <v>40058</v>
      </c>
      <c r="J1149" s="18" t="s">
        <v>11</v>
      </c>
      <c r="K1149" s="1" t="s">
        <v>1059</v>
      </c>
      <c r="L1149" s="1" t="s">
        <v>1060</v>
      </c>
      <c r="M1149" s="5"/>
      <c r="N1149" s="5" t="s">
        <v>10</v>
      </c>
      <c r="O1149" s="5" t="s">
        <v>10</v>
      </c>
      <c r="P1149" s="1" t="s">
        <v>4006</v>
      </c>
      <c r="Q1149" s="1" t="s">
        <v>33</v>
      </c>
      <c r="R1149" s="2" t="s">
        <v>6020</v>
      </c>
      <c r="S1149" s="1" t="s">
        <v>6243</v>
      </c>
      <c r="T1149" s="1">
        <v>2622</v>
      </c>
      <c r="U1149" s="1">
        <v>2622</v>
      </c>
      <c r="V1149" s="1">
        <v>2622</v>
      </c>
    </row>
    <row r="1150" spans="1:44" x14ac:dyDescent="0.2">
      <c r="A1150" s="1" t="s">
        <v>1064</v>
      </c>
      <c r="B1150" s="1">
        <v>19729412</v>
      </c>
      <c r="C1150" s="1" t="s">
        <v>7420</v>
      </c>
      <c r="E1150" s="21">
        <v>466</v>
      </c>
      <c r="G1150" s="1" t="s">
        <v>197</v>
      </c>
      <c r="H1150" s="1" t="s">
        <v>7270</v>
      </c>
      <c r="I1150" s="5">
        <v>40059</v>
      </c>
      <c r="J1150" s="18" t="s">
        <v>11</v>
      </c>
      <c r="K1150" s="1" t="s">
        <v>103</v>
      </c>
      <c r="L1150" s="1" t="s">
        <v>1063</v>
      </c>
      <c r="M1150" s="5"/>
      <c r="N1150" s="5" t="s">
        <v>10</v>
      </c>
      <c r="O1150" s="5" t="s">
        <v>10</v>
      </c>
      <c r="P1150" s="1" t="s">
        <v>6155</v>
      </c>
      <c r="Q1150" s="1" t="s">
        <v>4280</v>
      </c>
      <c r="R1150" s="2" t="s">
        <v>5034</v>
      </c>
      <c r="S1150" s="1" t="s">
        <v>6243</v>
      </c>
      <c r="T1150" s="1">
        <v>6687</v>
      </c>
      <c r="U1150" s="1">
        <v>3915</v>
      </c>
      <c r="V1150" s="1">
        <v>3915</v>
      </c>
      <c r="AH1150" s="1">
        <v>2772</v>
      </c>
      <c r="AI1150" s="1">
        <v>2772</v>
      </c>
    </row>
    <row r="1151" spans="1:44" x14ac:dyDescent="0.2">
      <c r="A1151" s="1" t="s">
        <v>1066</v>
      </c>
      <c r="B1151" s="1">
        <v>19729612</v>
      </c>
      <c r="C1151" s="1" t="s">
        <v>7420</v>
      </c>
      <c r="E1151" s="21">
        <v>27</v>
      </c>
      <c r="G1151" s="1" t="s">
        <v>6730</v>
      </c>
      <c r="H1151" s="1" t="s">
        <v>7211</v>
      </c>
      <c r="I1151" s="5">
        <v>40059</v>
      </c>
      <c r="J1151" s="18" t="s">
        <v>11</v>
      </c>
      <c r="K1151" s="1" t="s">
        <v>529</v>
      </c>
      <c r="L1151" s="1" t="s">
        <v>1065</v>
      </c>
      <c r="M1151" s="5"/>
      <c r="N1151" s="5" t="s">
        <v>10</v>
      </c>
      <c r="O1151" s="5" t="s">
        <v>10</v>
      </c>
      <c r="P1151" s="1" t="s">
        <v>3546</v>
      </c>
      <c r="Q1151" s="1" t="s">
        <v>3547</v>
      </c>
      <c r="R1151" s="2" t="s">
        <v>3936</v>
      </c>
      <c r="S1151" s="1" t="s">
        <v>6243</v>
      </c>
      <c r="T1151" s="1">
        <v>1162</v>
      </c>
      <c r="U1151" s="1">
        <v>685</v>
      </c>
      <c r="V1151" s="1">
        <v>685</v>
      </c>
      <c r="AH1151" s="1">
        <v>477</v>
      </c>
      <c r="AI1151" s="1">
        <v>477</v>
      </c>
    </row>
    <row r="1152" spans="1:44" x14ac:dyDescent="0.2">
      <c r="A1152" s="1" t="s">
        <v>1068</v>
      </c>
      <c r="B1152" s="1">
        <v>19734545</v>
      </c>
      <c r="C1152" s="1" t="s">
        <v>7420</v>
      </c>
      <c r="E1152" s="21">
        <v>1103</v>
      </c>
      <c r="G1152" s="1" t="s">
        <v>1069</v>
      </c>
      <c r="H1152" s="1" t="s">
        <v>40</v>
      </c>
      <c r="I1152" s="5">
        <v>40060</v>
      </c>
      <c r="J1152" s="18" t="s">
        <v>11</v>
      </c>
      <c r="K1152" s="1" t="s">
        <v>103</v>
      </c>
      <c r="L1152" s="1" t="s">
        <v>1067</v>
      </c>
      <c r="M1152" s="5"/>
      <c r="N1152" s="5" t="s">
        <v>10</v>
      </c>
      <c r="O1152" s="5" t="s">
        <v>10</v>
      </c>
      <c r="P1152" s="1" t="s">
        <v>6412</v>
      </c>
      <c r="Q1152" s="1" t="s">
        <v>33</v>
      </c>
      <c r="R1152" s="2" t="s">
        <v>4518</v>
      </c>
      <c r="S1152" s="1" t="s">
        <v>6244</v>
      </c>
      <c r="T1152" s="1">
        <v>1295</v>
      </c>
      <c r="U1152" s="1">
        <v>1295</v>
      </c>
      <c r="V1152" s="1">
        <v>958</v>
      </c>
      <c r="X1152" s="1">
        <v>207</v>
      </c>
      <c r="Y1152" s="1">
        <v>104</v>
      </c>
      <c r="AE1152" s="1">
        <v>26</v>
      </c>
    </row>
    <row r="1153" spans="1:44" x14ac:dyDescent="0.2">
      <c r="A1153" s="1" t="s">
        <v>1072</v>
      </c>
      <c r="B1153" s="1">
        <v>19734900</v>
      </c>
      <c r="C1153" s="1" t="s">
        <v>7420</v>
      </c>
      <c r="E1153" s="21">
        <v>87</v>
      </c>
      <c r="G1153" s="1" t="s">
        <v>61</v>
      </c>
      <c r="H1153" s="1" t="s">
        <v>7396</v>
      </c>
      <c r="I1153" s="5">
        <v>40062</v>
      </c>
      <c r="J1153" s="18" t="s">
        <v>11</v>
      </c>
      <c r="K1153" s="1" t="s">
        <v>28</v>
      </c>
      <c r="L1153" s="1" t="s">
        <v>1070</v>
      </c>
      <c r="M1153" s="5"/>
      <c r="N1153" s="5" t="s">
        <v>10</v>
      </c>
      <c r="O1153" s="5" t="s">
        <v>10</v>
      </c>
      <c r="P1153" s="1" t="s">
        <v>1071</v>
      </c>
      <c r="Q1153" s="1" t="s">
        <v>4764</v>
      </c>
      <c r="R1153" s="2" t="s">
        <v>4261</v>
      </c>
      <c r="S1153" s="1" t="s">
        <v>6243</v>
      </c>
      <c r="T1153" s="1">
        <v>14051</v>
      </c>
      <c r="U1153" s="1">
        <v>1376</v>
      </c>
      <c r="V1153" s="1">
        <v>1376</v>
      </c>
      <c r="AH1153" s="1">
        <v>12675</v>
      </c>
      <c r="AI1153" s="1">
        <v>12675</v>
      </c>
    </row>
    <row r="1154" spans="1:44" x14ac:dyDescent="0.2">
      <c r="A1154" s="1" t="s">
        <v>203</v>
      </c>
      <c r="B1154" s="1">
        <v>19734901</v>
      </c>
      <c r="C1154" s="1" t="s">
        <v>7420</v>
      </c>
      <c r="E1154" s="21">
        <v>59</v>
      </c>
      <c r="G1154" s="1" t="s">
        <v>193</v>
      </c>
      <c r="H1154" s="1" t="s">
        <v>7142</v>
      </c>
      <c r="I1154" s="5">
        <v>40062</v>
      </c>
      <c r="J1154" s="18" t="s">
        <v>11</v>
      </c>
      <c r="K1154" s="1" t="s">
        <v>28</v>
      </c>
      <c r="L1154" s="1" t="s">
        <v>1073</v>
      </c>
      <c r="M1154" s="5"/>
      <c r="N1154" s="5" t="s">
        <v>10</v>
      </c>
      <c r="O1154" s="5" t="s">
        <v>10</v>
      </c>
      <c r="P1154" s="1" t="s">
        <v>5526</v>
      </c>
      <c r="Q1154" s="1" t="s">
        <v>5527</v>
      </c>
      <c r="R1154" s="2" t="s">
        <v>4201</v>
      </c>
      <c r="S1154" s="1" t="s">
        <v>6243</v>
      </c>
      <c r="T1154" s="1">
        <v>19808</v>
      </c>
      <c r="U1154" s="1">
        <v>11336</v>
      </c>
      <c r="V1154" s="1">
        <v>11336</v>
      </c>
      <c r="AH1154" s="1">
        <v>8472</v>
      </c>
      <c r="AI1154" s="1">
        <v>8472</v>
      </c>
    </row>
    <row r="1155" spans="1:44" x14ac:dyDescent="0.2">
      <c r="A1155" s="1" t="s">
        <v>1075</v>
      </c>
      <c r="B1155" s="1">
        <v>19734902</v>
      </c>
      <c r="C1155" s="1" t="s">
        <v>7420</v>
      </c>
      <c r="E1155" s="21">
        <v>1718</v>
      </c>
      <c r="G1155" s="1" t="s">
        <v>89</v>
      </c>
      <c r="H1155" s="1" t="s">
        <v>7126</v>
      </c>
      <c r="I1155" s="5">
        <v>40062</v>
      </c>
      <c r="J1155" s="18" t="s">
        <v>11</v>
      </c>
      <c r="K1155" s="1" t="s">
        <v>28</v>
      </c>
      <c r="L1155" s="1" t="s">
        <v>1074</v>
      </c>
      <c r="M1155" s="5"/>
      <c r="N1155" s="5" t="s">
        <v>10</v>
      </c>
      <c r="O1155" s="5" t="s">
        <v>10</v>
      </c>
      <c r="P1155" s="1" t="s">
        <v>5242</v>
      </c>
      <c r="Q1155" s="1" t="s">
        <v>5243</v>
      </c>
      <c r="R1155" s="2" t="s">
        <v>4915</v>
      </c>
      <c r="S1155" s="1" t="s">
        <v>6243</v>
      </c>
      <c r="T1155" s="1">
        <v>16152</v>
      </c>
      <c r="U1155" s="1">
        <v>11789</v>
      </c>
      <c r="V1155" s="1">
        <v>11789</v>
      </c>
      <c r="AH1155" s="1">
        <v>4363</v>
      </c>
      <c r="AI1155" s="1">
        <v>4363</v>
      </c>
    </row>
    <row r="1156" spans="1:44" x14ac:dyDescent="0.2">
      <c r="A1156" s="1" t="s">
        <v>1077</v>
      </c>
      <c r="B1156" s="1">
        <v>19734903</v>
      </c>
      <c r="C1156" s="1" t="s">
        <v>7420</v>
      </c>
      <c r="E1156" s="21">
        <v>74</v>
      </c>
      <c r="G1156" s="1" t="s">
        <v>89</v>
      </c>
      <c r="H1156" s="1" t="s">
        <v>7126</v>
      </c>
      <c r="I1156" s="5">
        <v>40062</v>
      </c>
      <c r="J1156" s="18" t="s">
        <v>11</v>
      </c>
      <c r="K1156" s="1" t="s">
        <v>28</v>
      </c>
      <c r="L1156" s="1" t="s">
        <v>1076</v>
      </c>
      <c r="M1156" s="5"/>
      <c r="N1156" s="5" t="s">
        <v>10</v>
      </c>
      <c r="O1156" s="5" t="s">
        <v>10</v>
      </c>
      <c r="P1156" s="1" t="s">
        <v>4566</v>
      </c>
      <c r="Q1156" s="1" t="s">
        <v>4345</v>
      </c>
      <c r="R1156" s="2" t="s">
        <v>4738</v>
      </c>
      <c r="S1156" s="1" t="s">
        <v>6243</v>
      </c>
      <c r="T1156" s="1">
        <v>14635</v>
      </c>
      <c r="U1156" s="1">
        <v>7360</v>
      </c>
      <c r="V1156" s="1">
        <v>7360</v>
      </c>
      <c r="AH1156" s="1">
        <v>7275</v>
      </c>
      <c r="AI1156" s="1">
        <v>7275</v>
      </c>
    </row>
    <row r="1157" spans="1:44" x14ac:dyDescent="0.2">
      <c r="A1157" s="1" t="s">
        <v>1055</v>
      </c>
      <c r="B1157" s="1">
        <v>19736353</v>
      </c>
      <c r="C1157" s="1" t="s">
        <v>7420</v>
      </c>
      <c r="E1157" s="21">
        <v>306</v>
      </c>
      <c r="G1157" s="1" t="s">
        <v>1407</v>
      </c>
      <c r="H1157" s="1" t="s">
        <v>1056</v>
      </c>
      <c r="I1157" s="5">
        <v>40057</v>
      </c>
      <c r="J1157" s="18" t="s">
        <v>11</v>
      </c>
      <c r="K1157" s="1" t="s">
        <v>361</v>
      </c>
      <c r="L1157" s="1" t="s">
        <v>1053</v>
      </c>
      <c r="M1157" s="5"/>
      <c r="N1157" s="5" t="s">
        <v>10</v>
      </c>
      <c r="O1157" s="5" t="s">
        <v>10</v>
      </c>
      <c r="P1157" s="1" t="s">
        <v>1054</v>
      </c>
      <c r="Q1157" s="1" t="s">
        <v>4062</v>
      </c>
      <c r="R1157" s="2" t="s">
        <v>4916</v>
      </c>
      <c r="S1157" s="1" t="s">
        <v>6243</v>
      </c>
      <c r="T1157" s="1">
        <v>1532</v>
      </c>
      <c r="U1157" s="1">
        <v>339</v>
      </c>
      <c r="V1157" s="1">
        <v>339</v>
      </c>
      <c r="AH1157" s="1">
        <v>1193</v>
      </c>
      <c r="AI1157" s="1">
        <v>1193</v>
      </c>
    </row>
    <row r="1158" spans="1:44" x14ac:dyDescent="0.2">
      <c r="A1158" s="1" t="s">
        <v>1079</v>
      </c>
      <c r="B1158" s="1">
        <v>19740415</v>
      </c>
      <c r="C1158" s="1" t="s">
        <v>7420</v>
      </c>
      <c r="D1158" s="1" t="s">
        <v>7411</v>
      </c>
      <c r="E1158" s="21">
        <v>3</v>
      </c>
      <c r="G1158" s="1" t="s">
        <v>193</v>
      </c>
      <c r="H1158" s="1" t="s">
        <v>7142</v>
      </c>
      <c r="I1158" s="5">
        <v>40065</v>
      </c>
      <c r="J1158" s="18" t="s">
        <v>11</v>
      </c>
      <c r="K1158" s="1" t="s">
        <v>220</v>
      </c>
      <c r="L1158" s="1" t="s">
        <v>1078</v>
      </c>
      <c r="M1158" s="5"/>
      <c r="N1158" s="5" t="s">
        <v>10</v>
      </c>
      <c r="O1158" s="5" t="s">
        <v>10</v>
      </c>
      <c r="P1158" s="1" t="s">
        <v>6222</v>
      </c>
      <c r="Q1158" s="1" t="s">
        <v>33</v>
      </c>
      <c r="R1158" s="2" t="s">
        <v>4911</v>
      </c>
      <c r="S1158" s="1" t="s">
        <v>6243</v>
      </c>
      <c r="T1158" s="1">
        <v>547</v>
      </c>
      <c r="U1158" s="1">
        <v>547</v>
      </c>
      <c r="V1158" s="1">
        <v>547</v>
      </c>
    </row>
    <row r="1159" spans="1:44" x14ac:dyDescent="0.2">
      <c r="A1159" s="1" t="s">
        <v>1088</v>
      </c>
      <c r="B1159" s="1">
        <v>19749757</v>
      </c>
      <c r="C1159" s="1" t="s">
        <v>7420</v>
      </c>
      <c r="E1159" s="21">
        <v>56</v>
      </c>
      <c r="G1159" s="1" t="s">
        <v>6938</v>
      </c>
      <c r="H1159" s="1" t="s">
        <v>1084</v>
      </c>
      <c r="I1159" s="5">
        <v>40069</v>
      </c>
      <c r="J1159" s="18" t="s">
        <v>11</v>
      </c>
      <c r="K1159" s="1" t="s">
        <v>28</v>
      </c>
      <c r="L1159" s="1" t="s">
        <v>1085</v>
      </c>
      <c r="M1159" s="5"/>
      <c r="N1159" s="5" t="s">
        <v>10</v>
      </c>
      <c r="O1159" s="5" t="s">
        <v>10</v>
      </c>
      <c r="P1159" s="1" t="s">
        <v>1086</v>
      </c>
      <c r="Q1159" s="1" t="s">
        <v>1087</v>
      </c>
      <c r="R1159" s="2" t="s">
        <v>4103</v>
      </c>
      <c r="S1159" s="1" t="s">
        <v>6242</v>
      </c>
      <c r="T1159" s="1">
        <v>326</v>
      </c>
      <c r="U1159" s="1">
        <v>154</v>
      </c>
      <c r="X1159" s="1">
        <v>154</v>
      </c>
      <c r="AH1159" s="1">
        <v>172</v>
      </c>
      <c r="AK1159" s="1">
        <v>172</v>
      </c>
    </row>
    <row r="1160" spans="1:44" x14ac:dyDescent="0.2">
      <c r="A1160" s="1" t="s">
        <v>1083</v>
      </c>
      <c r="B1160" s="1">
        <v>19749758</v>
      </c>
      <c r="C1160" s="1" t="s">
        <v>7420</v>
      </c>
      <c r="E1160" s="21">
        <v>179</v>
      </c>
      <c r="G1160" s="1" t="s">
        <v>6938</v>
      </c>
      <c r="H1160" s="1" t="s">
        <v>1084</v>
      </c>
      <c r="I1160" s="5">
        <v>40069</v>
      </c>
      <c r="J1160" s="18" t="s">
        <v>11</v>
      </c>
      <c r="K1160" s="1" t="s">
        <v>28</v>
      </c>
      <c r="L1160" s="1" t="s">
        <v>1081</v>
      </c>
      <c r="M1160" s="5"/>
      <c r="N1160" s="5" t="s">
        <v>10</v>
      </c>
      <c r="O1160" s="5" t="s">
        <v>10</v>
      </c>
      <c r="P1160" s="1" t="s">
        <v>5126</v>
      </c>
      <c r="Q1160" s="1" t="s">
        <v>1082</v>
      </c>
      <c r="R1160" s="2" t="s">
        <v>4027</v>
      </c>
      <c r="S1160" s="1" t="s">
        <v>6243</v>
      </c>
      <c r="T1160" s="1">
        <v>848</v>
      </c>
      <c r="U1160" s="1">
        <v>293</v>
      </c>
      <c r="V1160" s="1">
        <v>293</v>
      </c>
      <c r="AH1160" s="1">
        <v>555</v>
      </c>
      <c r="AI1160" s="1">
        <v>555</v>
      </c>
    </row>
    <row r="1161" spans="1:44" x14ac:dyDescent="0.2">
      <c r="A1161" s="1" t="s">
        <v>1090</v>
      </c>
      <c r="B1161" s="1">
        <v>19754311</v>
      </c>
      <c r="C1161" s="1" t="s">
        <v>7420</v>
      </c>
      <c r="E1161" s="21">
        <v>49</v>
      </c>
      <c r="G1161" s="1" t="s">
        <v>6845</v>
      </c>
      <c r="H1161" s="1" t="s">
        <v>7172</v>
      </c>
      <c r="I1161" s="5">
        <v>40071</v>
      </c>
      <c r="J1161" s="18" t="s">
        <v>11</v>
      </c>
      <c r="K1161" s="1" t="s">
        <v>657</v>
      </c>
      <c r="L1161" s="1" t="s">
        <v>1089</v>
      </c>
      <c r="M1161" s="5"/>
      <c r="N1161" s="5" t="s">
        <v>10</v>
      </c>
      <c r="O1161" s="5" t="s">
        <v>10</v>
      </c>
      <c r="P1161" s="1" t="s">
        <v>4273</v>
      </c>
      <c r="Q1161" s="1" t="s">
        <v>33</v>
      </c>
      <c r="R1161" s="2" t="s">
        <v>3913</v>
      </c>
      <c r="S1161" s="1" t="s">
        <v>6243</v>
      </c>
      <c r="T1161" s="1">
        <v>2134</v>
      </c>
      <c r="U1161" s="1">
        <v>2134</v>
      </c>
      <c r="V1161" s="1">
        <v>2134</v>
      </c>
    </row>
    <row r="1162" spans="1:44" x14ac:dyDescent="0.2">
      <c r="A1162" s="1" t="s">
        <v>356</v>
      </c>
      <c r="B1162" s="1">
        <v>19767753</v>
      </c>
      <c r="C1162" s="1" t="s">
        <v>7420</v>
      </c>
      <c r="E1162" s="21">
        <v>126</v>
      </c>
      <c r="G1162" s="1" t="s">
        <v>77</v>
      </c>
      <c r="H1162" s="1" t="s">
        <v>6689</v>
      </c>
      <c r="I1162" s="5">
        <v>40076</v>
      </c>
      <c r="J1162" s="18" t="s">
        <v>11</v>
      </c>
      <c r="K1162" s="1" t="s">
        <v>28</v>
      </c>
      <c r="L1162" s="1" t="s">
        <v>1091</v>
      </c>
      <c r="M1162" s="5"/>
      <c r="N1162" s="5" t="s">
        <v>11</v>
      </c>
      <c r="O1162" s="5" t="s">
        <v>11</v>
      </c>
      <c r="P1162" s="1" t="s">
        <v>5106</v>
      </c>
      <c r="Q1162" s="1" t="s">
        <v>6427</v>
      </c>
      <c r="R1162" s="2" t="s">
        <v>3906</v>
      </c>
      <c r="S1162" s="1" t="s">
        <v>6244</v>
      </c>
      <c r="T1162" s="1">
        <v>42388</v>
      </c>
      <c r="U1162" s="1">
        <v>3748</v>
      </c>
      <c r="V1162" s="1">
        <v>3748</v>
      </c>
      <c r="AH1162" s="1">
        <v>38640</v>
      </c>
      <c r="AI1162" s="1">
        <v>28671</v>
      </c>
      <c r="AJ1162" s="1">
        <v>58</v>
      </c>
      <c r="AK1162" s="1">
        <v>111</v>
      </c>
      <c r="AM1162" s="1">
        <v>31</v>
      </c>
      <c r="AR1162" s="1">
        <v>9769</v>
      </c>
    </row>
    <row r="1163" spans="1:44" x14ac:dyDescent="0.2">
      <c r="A1163" s="1" t="s">
        <v>80</v>
      </c>
      <c r="B1163" s="1">
        <v>19767754</v>
      </c>
      <c r="C1163" s="1" t="s">
        <v>7420</v>
      </c>
      <c r="E1163" s="21">
        <v>18</v>
      </c>
      <c r="G1163" s="1" t="s">
        <v>77</v>
      </c>
      <c r="H1163" s="1" t="s">
        <v>6689</v>
      </c>
      <c r="I1163" s="5">
        <v>40076</v>
      </c>
      <c r="J1163" s="18" t="s">
        <v>11</v>
      </c>
      <c r="K1163" s="1" t="s">
        <v>28</v>
      </c>
      <c r="L1163" s="1" t="s">
        <v>1092</v>
      </c>
      <c r="M1163" s="5"/>
      <c r="N1163" s="5" t="s">
        <v>11</v>
      </c>
      <c r="O1163" s="5" t="s">
        <v>11</v>
      </c>
      <c r="P1163" s="1" t="s">
        <v>4612</v>
      </c>
      <c r="Q1163" s="1" t="s">
        <v>5585</v>
      </c>
      <c r="R1163" s="2" t="s">
        <v>5037</v>
      </c>
      <c r="S1163" s="1" t="s">
        <v>6243</v>
      </c>
      <c r="T1163" s="1">
        <v>61543</v>
      </c>
      <c r="U1163" s="1">
        <v>37350</v>
      </c>
      <c r="V1163" s="1">
        <v>37350</v>
      </c>
      <c r="AH1163" s="1">
        <v>24193</v>
      </c>
      <c r="AI1163" s="1">
        <v>24193</v>
      </c>
    </row>
    <row r="1164" spans="1:44" x14ac:dyDescent="0.2">
      <c r="A1164" s="1" t="s">
        <v>1095</v>
      </c>
      <c r="B1164" s="1">
        <v>19772629</v>
      </c>
      <c r="C1164" s="1" t="s">
        <v>7420</v>
      </c>
      <c r="E1164" s="21">
        <v>175</v>
      </c>
      <c r="G1164" s="1" t="s">
        <v>1096</v>
      </c>
      <c r="H1164" s="1" t="s">
        <v>7193</v>
      </c>
      <c r="I1164" s="5">
        <v>40078</v>
      </c>
      <c r="J1164" s="18" t="s">
        <v>11</v>
      </c>
      <c r="K1164" s="1" t="s">
        <v>220</v>
      </c>
      <c r="L1164" s="1" t="s">
        <v>1093</v>
      </c>
      <c r="M1164" s="5"/>
      <c r="N1164" s="5" t="s">
        <v>10</v>
      </c>
      <c r="O1164" s="5" t="s">
        <v>10</v>
      </c>
      <c r="P1164" s="1" t="s">
        <v>5645</v>
      </c>
      <c r="Q1164" s="1" t="s">
        <v>1094</v>
      </c>
      <c r="R1164" s="2" t="s">
        <v>4115</v>
      </c>
      <c r="S1164" s="1" t="s">
        <v>6243</v>
      </c>
      <c r="T1164" s="1">
        <v>2044</v>
      </c>
      <c r="U1164" s="1">
        <v>1297</v>
      </c>
      <c r="V1164" s="1">
        <v>1297</v>
      </c>
      <c r="AH1164" s="1">
        <v>747</v>
      </c>
      <c r="AI1164" s="1">
        <v>747</v>
      </c>
    </row>
    <row r="1165" spans="1:44" x14ac:dyDescent="0.2">
      <c r="A1165" s="1" t="s">
        <v>1100</v>
      </c>
      <c r="B1165" s="1">
        <v>19779542</v>
      </c>
      <c r="C1165" s="1" t="s">
        <v>7420</v>
      </c>
      <c r="E1165" s="21">
        <v>32</v>
      </c>
      <c r="G1165" s="1" t="s">
        <v>1101</v>
      </c>
      <c r="H1165" s="1" t="s">
        <v>1102</v>
      </c>
      <c r="I1165" s="5">
        <v>40081</v>
      </c>
      <c r="J1165" s="18" t="s">
        <v>11</v>
      </c>
      <c r="K1165" s="1" t="s">
        <v>65</v>
      </c>
      <c r="L1165" s="1" t="s">
        <v>1097</v>
      </c>
      <c r="M1165" s="5"/>
      <c r="N1165" s="5" t="s">
        <v>10</v>
      </c>
      <c r="O1165" s="5" t="s">
        <v>10</v>
      </c>
      <c r="P1165" s="1" t="s">
        <v>1098</v>
      </c>
      <c r="Q1165" s="1" t="s">
        <v>1099</v>
      </c>
      <c r="R1165" s="2" t="s">
        <v>4054</v>
      </c>
      <c r="S1165" s="1" t="s">
        <v>6242</v>
      </c>
      <c r="T1165" s="1">
        <v>2741</v>
      </c>
      <c r="U1165" s="1">
        <v>1231</v>
      </c>
      <c r="X1165" s="1">
        <v>1231</v>
      </c>
      <c r="AH1165" s="1">
        <v>1510</v>
      </c>
      <c r="AK1165" s="1">
        <v>1510</v>
      </c>
    </row>
    <row r="1166" spans="1:44" x14ac:dyDescent="0.2">
      <c r="A1166" s="1" t="s">
        <v>1106</v>
      </c>
      <c r="B1166" s="1">
        <v>19786962</v>
      </c>
      <c r="C1166" s="1" t="s">
        <v>7420</v>
      </c>
      <c r="E1166" s="21">
        <v>30</v>
      </c>
      <c r="G1166" s="1" t="s">
        <v>1107</v>
      </c>
      <c r="H1166" s="1" t="s">
        <v>1108</v>
      </c>
      <c r="I1166" s="5">
        <v>40085</v>
      </c>
      <c r="J1166" s="18" t="s">
        <v>11</v>
      </c>
      <c r="K1166" s="1" t="s">
        <v>71</v>
      </c>
      <c r="L1166" s="1" t="s">
        <v>1103</v>
      </c>
      <c r="M1166" s="5"/>
      <c r="N1166" s="5" t="s">
        <v>10</v>
      </c>
      <c r="O1166" s="5" t="s">
        <v>10</v>
      </c>
      <c r="P1166" s="1" t="s">
        <v>1104</v>
      </c>
      <c r="Q1166" s="1" t="s">
        <v>1105</v>
      </c>
      <c r="R1166" s="2" t="s">
        <v>4698</v>
      </c>
      <c r="S1166" s="1" t="s">
        <v>6243</v>
      </c>
      <c r="T1166" s="1">
        <v>386</v>
      </c>
      <c r="U1166" s="1">
        <v>200</v>
      </c>
      <c r="V1166" s="1">
        <v>200</v>
      </c>
      <c r="AH1166" s="1">
        <v>186</v>
      </c>
      <c r="AI1166" s="1">
        <v>186</v>
      </c>
    </row>
    <row r="1167" spans="1:44" x14ac:dyDescent="0.2">
      <c r="A1167" s="1" t="s">
        <v>2024</v>
      </c>
      <c r="B1167" s="1">
        <v>19789690</v>
      </c>
      <c r="C1167" s="1" t="s">
        <v>7420</v>
      </c>
      <c r="D1167" s="1">
        <v>1</v>
      </c>
      <c r="E1167" s="21">
        <v>0</v>
      </c>
      <c r="G1167" s="1" t="s">
        <v>6935</v>
      </c>
      <c r="H1167" s="1" t="s">
        <v>7189</v>
      </c>
      <c r="I1167" s="5">
        <v>39979</v>
      </c>
      <c r="J1167" s="18" t="s">
        <v>10</v>
      </c>
      <c r="K1167" s="1" t="s">
        <v>2847</v>
      </c>
      <c r="L1167" s="1" t="s">
        <v>2848</v>
      </c>
      <c r="M1167" s="5"/>
      <c r="N1167" s="5" t="s">
        <v>10</v>
      </c>
      <c r="O1167" s="5" t="s">
        <v>10</v>
      </c>
      <c r="P1167" s="1" t="s">
        <v>3809</v>
      </c>
      <c r="Q1167" s="1" t="s">
        <v>33</v>
      </c>
      <c r="R1167" s="2" t="s">
        <v>3916</v>
      </c>
      <c r="S1167" s="1" t="s">
        <v>6243</v>
      </c>
      <c r="T1167" s="1">
        <v>866</v>
      </c>
      <c r="U1167" s="1">
        <v>866</v>
      </c>
      <c r="V1167" s="1">
        <v>866</v>
      </c>
    </row>
    <row r="1168" spans="1:44" x14ac:dyDescent="0.2">
      <c r="A1168" s="1" t="s">
        <v>1110</v>
      </c>
      <c r="B1168" s="1">
        <v>19798445</v>
      </c>
      <c r="C1168" s="1" t="s">
        <v>7420</v>
      </c>
      <c r="E1168" s="21">
        <v>586</v>
      </c>
      <c r="F1168" s="17">
        <v>1</v>
      </c>
      <c r="G1168" s="1" t="s">
        <v>6792</v>
      </c>
      <c r="H1168" s="1" t="s">
        <v>7219</v>
      </c>
      <c r="I1168" s="5">
        <v>40088</v>
      </c>
      <c r="J1168" s="18" t="s">
        <v>11</v>
      </c>
      <c r="K1168" s="1" t="s">
        <v>65</v>
      </c>
      <c r="L1168" s="1" t="s">
        <v>1109</v>
      </c>
      <c r="M1168" s="5"/>
      <c r="N1168" s="5" t="s">
        <v>10</v>
      </c>
      <c r="O1168" s="5" t="s">
        <v>10</v>
      </c>
      <c r="P1168" s="1" t="s">
        <v>4464</v>
      </c>
      <c r="Q1168" s="1" t="s">
        <v>33</v>
      </c>
      <c r="R1168" s="2" t="s">
        <v>4835</v>
      </c>
      <c r="S1168" s="1" t="s">
        <v>6243</v>
      </c>
      <c r="T1168" s="1">
        <v>4110</v>
      </c>
      <c r="U1168" s="1">
        <v>4110</v>
      </c>
      <c r="V1168" s="1">
        <v>4110</v>
      </c>
    </row>
    <row r="1169" spans="1:43" x14ac:dyDescent="0.2">
      <c r="A1169" s="1" t="s">
        <v>1112</v>
      </c>
      <c r="B1169" s="1">
        <v>19801982</v>
      </c>
      <c r="C1169" s="1" t="s">
        <v>7420</v>
      </c>
      <c r="E1169" s="21">
        <v>1600</v>
      </c>
      <c r="G1169" s="1" t="s">
        <v>413</v>
      </c>
      <c r="H1169" s="1" t="s">
        <v>7231</v>
      </c>
      <c r="I1169" s="5">
        <v>40090</v>
      </c>
      <c r="J1169" s="18" t="s">
        <v>11</v>
      </c>
      <c r="K1169" s="1" t="s">
        <v>28</v>
      </c>
      <c r="L1169" s="1" t="s">
        <v>1111</v>
      </c>
      <c r="M1169" s="5"/>
      <c r="N1169" s="5" t="s">
        <v>10</v>
      </c>
      <c r="O1169" s="5" t="s">
        <v>10</v>
      </c>
      <c r="P1169" s="1" t="s">
        <v>4902</v>
      </c>
      <c r="Q1169" s="1" t="s">
        <v>33</v>
      </c>
      <c r="R1169" s="2" t="s">
        <v>5950</v>
      </c>
      <c r="S1169" s="1" t="s">
        <v>6243</v>
      </c>
      <c r="T1169" s="1">
        <v>19195</v>
      </c>
      <c r="U1169" s="1">
        <v>19195</v>
      </c>
      <c r="V1169" s="1">
        <v>19195</v>
      </c>
    </row>
    <row r="1170" spans="1:43" x14ac:dyDescent="0.2">
      <c r="A1170" s="1" t="s">
        <v>553</v>
      </c>
      <c r="B1170" s="1">
        <v>19802338</v>
      </c>
      <c r="C1170" s="1" t="s">
        <v>7420</v>
      </c>
      <c r="E1170" s="21">
        <v>119</v>
      </c>
      <c r="G1170" s="1" t="s">
        <v>6998</v>
      </c>
      <c r="H1170" s="1" t="s">
        <v>7162</v>
      </c>
      <c r="I1170" s="5">
        <v>39722</v>
      </c>
      <c r="J1170" s="18" t="s">
        <v>11</v>
      </c>
      <c r="K1170" s="1" t="s">
        <v>551</v>
      </c>
      <c r="L1170" s="1" t="s">
        <v>552</v>
      </c>
      <c r="M1170" s="5"/>
      <c r="N1170" s="5" t="s">
        <v>11</v>
      </c>
      <c r="O1170" s="5" t="s">
        <v>10</v>
      </c>
      <c r="P1170" s="1" t="s">
        <v>6210</v>
      </c>
      <c r="Q1170" s="1" t="s">
        <v>6694</v>
      </c>
      <c r="R1170" s="2" t="s">
        <v>4486</v>
      </c>
      <c r="S1170" s="1" t="s">
        <v>6243</v>
      </c>
      <c r="T1170" s="1">
        <v>7352</v>
      </c>
      <c r="U1170" s="1">
        <v>6382</v>
      </c>
      <c r="V1170" s="1">
        <v>6382</v>
      </c>
      <c r="AH1170" s="1">
        <v>970</v>
      </c>
      <c r="AI1170" s="1">
        <v>970</v>
      </c>
    </row>
    <row r="1171" spans="1:43" x14ac:dyDescent="0.2">
      <c r="A1171" s="1" t="s">
        <v>1114</v>
      </c>
      <c r="B1171" s="1">
        <v>19812673</v>
      </c>
      <c r="C1171" s="1" t="s">
        <v>7420</v>
      </c>
      <c r="E1171" s="21">
        <v>71</v>
      </c>
      <c r="G1171" s="1" t="s">
        <v>317</v>
      </c>
      <c r="H1171" s="1" t="s">
        <v>318</v>
      </c>
      <c r="I1171" s="5">
        <v>40094</v>
      </c>
      <c r="J1171" s="18" t="s">
        <v>11</v>
      </c>
      <c r="K1171" s="1" t="s">
        <v>58</v>
      </c>
      <c r="L1171" s="1" t="s">
        <v>1113</v>
      </c>
      <c r="M1171" s="5"/>
      <c r="N1171" s="5" t="s">
        <v>10</v>
      </c>
      <c r="O1171" s="5" t="s">
        <v>10</v>
      </c>
      <c r="P1171" s="1" t="s">
        <v>6278</v>
      </c>
      <c r="Q1171" s="1" t="s">
        <v>3870</v>
      </c>
      <c r="R1171" s="2" t="s">
        <v>4547</v>
      </c>
      <c r="S1171" s="1" t="s">
        <v>6244</v>
      </c>
      <c r="T1171" s="1">
        <v>7772</v>
      </c>
      <c r="U1171" s="1">
        <v>1553</v>
      </c>
      <c r="AD1171" s="1">
        <v>1553</v>
      </c>
      <c r="AH1171" s="1">
        <v>6219</v>
      </c>
      <c r="AQ1171" s="1">
        <v>6219</v>
      </c>
    </row>
    <row r="1172" spans="1:43" x14ac:dyDescent="0.2">
      <c r="A1172" s="1" t="s">
        <v>1119</v>
      </c>
      <c r="B1172" s="1">
        <v>19820697</v>
      </c>
      <c r="C1172" s="1" t="s">
        <v>7420</v>
      </c>
      <c r="E1172" s="21">
        <v>167</v>
      </c>
      <c r="G1172" s="1" t="s">
        <v>6775</v>
      </c>
      <c r="H1172" s="1" t="s">
        <v>7218</v>
      </c>
      <c r="I1172" s="5">
        <v>40097</v>
      </c>
      <c r="J1172" s="18" t="s">
        <v>11</v>
      </c>
      <c r="K1172" s="1" t="s">
        <v>28</v>
      </c>
      <c r="L1172" s="1" t="s">
        <v>1118</v>
      </c>
      <c r="M1172" s="5"/>
      <c r="N1172" s="5" t="s">
        <v>10</v>
      </c>
      <c r="O1172" s="5" t="s">
        <v>10</v>
      </c>
      <c r="P1172" s="1" t="s">
        <v>4470</v>
      </c>
      <c r="Q1172" s="1" t="s">
        <v>4920</v>
      </c>
      <c r="R1172" s="2" t="s">
        <v>6000</v>
      </c>
      <c r="S1172" s="1" t="s">
        <v>6243</v>
      </c>
      <c r="T1172" s="1">
        <v>13943</v>
      </c>
      <c r="U1172" s="1">
        <v>4627</v>
      </c>
      <c r="V1172" s="1">
        <v>4627</v>
      </c>
      <c r="AH1172" s="1">
        <v>9316</v>
      </c>
      <c r="AI1172" s="1">
        <v>9316</v>
      </c>
    </row>
    <row r="1173" spans="1:43" x14ac:dyDescent="0.2">
      <c r="A1173" s="1" t="s">
        <v>1121</v>
      </c>
      <c r="B1173" s="1">
        <v>19820698</v>
      </c>
      <c r="C1173" s="1" t="s">
        <v>7420</v>
      </c>
      <c r="E1173" s="21">
        <v>24</v>
      </c>
      <c r="G1173" s="1" t="s">
        <v>1117</v>
      </c>
      <c r="H1173" s="1" t="s">
        <v>7219</v>
      </c>
      <c r="I1173" s="5">
        <v>40097</v>
      </c>
      <c r="J1173" s="18" t="s">
        <v>11</v>
      </c>
      <c r="K1173" s="1" t="s">
        <v>28</v>
      </c>
      <c r="L1173" s="1" t="s">
        <v>1120</v>
      </c>
      <c r="M1173" s="5"/>
      <c r="N1173" s="5" t="s">
        <v>10</v>
      </c>
      <c r="O1173" s="5" t="s">
        <v>10</v>
      </c>
      <c r="P1173" s="1" t="s">
        <v>4928</v>
      </c>
      <c r="Q1173" s="1" t="s">
        <v>4681</v>
      </c>
      <c r="R1173" s="2" t="s">
        <v>6479</v>
      </c>
      <c r="S1173" s="1" t="s">
        <v>6244</v>
      </c>
      <c r="T1173" s="1">
        <v>27909</v>
      </c>
      <c r="U1173" s="1">
        <v>16001</v>
      </c>
      <c r="V1173" s="1">
        <v>6316</v>
      </c>
      <c r="Y1173" s="1">
        <v>9685</v>
      </c>
      <c r="AH1173" s="1">
        <v>11908</v>
      </c>
      <c r="AI1173" s="1">
        <v>5187</v>
      </c>
      <c r="AL1173" s="1">
        <v>6721</v>
      </c>
    </row>
    <row r="1174" spans="1:43" x14ac:dyDescent="0.2">
      <c r="A1174" s="1" t="s">
        <v>1116</v>
      </c>
      <c r="B1174" s="1">
        <v>19820699</v>
      </c>
      <c r="C1174" s="1" t="s">
        <v>7420</v>
      </c>
      <c r="E1174" s="21">
        <v>17</v>
      </c>
      <c r="G1174" s="1" t="s">
        <v>6837</v>
      </c>
      <c r="H1174" s="1" t="s">
        <v>7211</v>
      </c>
      <c r="I1174" s="5">
        <v>40097</v>
      </c>
      <c r="J1174" s="18" t="s">
        <v>11</v>
      </c>
      <c r="K1174" s="1" t="s">
        <v>28</v>
      </c>
      <c r="L1174" s="1" t="s">
        <v>1115</v>
      </c>
      <c r="M1174" s="5"/>
      <c r="N1174" s="5" t="s">
        <v>10</v>
      </c>
      <c r="O1174" s="5" t="s">
        <v>10</v>
      </c>
      <c r="P1174" s="1" t="s">
        <v>4472</v>
      </c>
      <c r="Q1174" s="1" t="s">
        <v>4373</v>
      </c>
      <c r="R1174" s="2" t="s">
        <v>4752</v>
      </c>
      <c r="S1174" s="1" t="s">
        <v>6243</v>
      </c>
      <c r="T1174" s="1">
        <v>8288</v>
      </c>
      <c r="U1174" s="1">
        <v>4818</v>
      </c>
      <c r="V1174" s="1">
        <v>4818</v>
      </c>
      <c r="AH1174" s="1">
        <v>3470</v>
      </c>
      <c r="AI1174" s="1">
        <v>3470</v>
      </c>
    </row>
    <row r="1175" spans="1:43" x14ac:dyDescent="0.2">
      <c r="A1175" s="1" t="s">
        <v>1125</v>
      </c>
      <c r="B1175" s="1">
        <v>19836008</v>
      </c>
      <c r="C1175" s="1" t="s">
        <v>7420</v>
      </c>
      <c r="E1175" s="21">
        <v>437</v>
      </c>
      <c r="G1175" s="1" t="s">
        <v>54</v>
      </c>
      <c r="H1175" s="1" t="s">
        <v>1809</v>
      </c>
      <c r="I1175" s="5">
        <v>40101</v>
      </c>
      <c r="J1175" s="18" t="s">
        <v>11</v>
      </c>
      <c r="K1175" s="1" t="s">
        <v>16</v>
      </c>
      <c r="L1175" s="1" t="s">
        <v>1124</v>
      </c>
      <c r="M1175" s="5"/>
      <c r="N1175" s="5" t="s">
        <v>10</v>
      </c>
      <c r="O1175" s="5" t="s">
        <v>10</v>
      </c>
      <c r="P1175" s="1" t="s">
        <v>5562</v>
      </c>
      <c r="Q1175" s="1" t="s">
        <v>5563</v>
      </c>
      <c r="R1175" s="2" t="s">
        <v>4587</v>
      </c>
      <c r="S1175" s="1" t="s">
        <v>6243</v>
      </c>
      <c r="T1175" s="1">
        <v>32966</v>
      </c>
      <c r="U1175" s="1">
        <v>11587</v>
      </c>
      <c r="V1175" s="1">
        <v>11587</v>
      </c>
      <c r="AH1175" s="1">
        <v>21379</v>
      </c>
      <c r="AI1175" s="1">
        <v>21379</v>
      </c>
    </row>
    <row r="1176" spans="1:43" x14ac:dyDescent="0.2">
      <c r="A1176" s="1" t="s">
        <v>1127</v>
      </c>
      <c r="B1176" s="1">
        <v>19838193</v>
      </c>
      <c r="C1176" s="1" t="s">
        <v>7420</v>
      </c>
      <c r="E1176" s="21">
        <v>101</v>
      </c>
      <c r="G1176" s="1" t="s">
        <v>218</v>
      </c>
      <c r="H1176" s="1" t="s">
        <v>7376</v>
      </c>
      <c r="I1176" s="5">
        <v>40104</v>
      </c>
      <c r="J1176" s="18" t="s">
        <v>11</v>
      </c>
      <c r="K1176" s="1" t="s">
        <v>28</v>
      </c>
      <c r="L1176" s="1" t="s">
        <v>1126</v>
      </c>
      <c r="M1176" s="5"/>
      <c r="N1176" s="5" t="s">
        <v>10</v>
      </c>
      <c r="O1176" s="5" t="s">
        <v>10</v>
      </c>
      <c r="P1176" s="1" t="s">
        <v>3962</v>
      </c>
      <c r="Q1176" s="1" t="s">
        <v>4719</v>
      </c>
      <c r="R1176" s="2" t="s">
        <v>4325</v>
      </c>
      <c r="S1176" s="1" t="s">
        <v>6242</v>
      </c>
      <c r="T1176" s="1">
        <v>12454</v>
      </c>
      <c r="U1176" s="1">
        <v>2252</v>
      </c>
      <c r="X1176" s="1">
        <v>2252</v>
      </c>
      <c r="AH1176" s="1">
        <v>10202</v>
      </c>
      <c r="AK1176" s="1">
        <v>10202</v>
      </c>
    </row>
    <row r="1177" spans="1:43" x14ac:dyDescent="0.2">
      <c r="A1177" s="1" t="s">
        <v>1130</v>
      </c>
      <c r="B1177" s="1">
        <v>19846067</v>
      </c>
      <c r="C1177" s="1" t="s">
        <v>7420</v>
      </c>
      <c r="E1177" s="21">
        <v>454</v>
      </c>
      <c r="G1177" s="1" t="s">
        <v>634</v>
      </c>
      <c r="H1177" s="1" t="s">
        <v>635</v>
      </c>
      <c r="I1177" s="5">
        <v>40105</v>
      </c>
      <c r="J1177" s="18" t="s">
        <v>11</v>
      </c>
      <c r="K1177" s="1" t="s">
        <v>1128</v>
      </c>
      <c r="L1177" s="1" t="s">
        <v>1129</v>
      </c>
      <c r="M1177" s="5"/>
      <c r="N1177" s="5" t="s">
        <v>10</v>
      </c>
      <c r="O1177" s="5" t="s">
        <v>10</v>
      </c>
      <c r="P1177" s="1" t="s">
        <v>3455</v>
      </c>
      <c r="Q1177" s="1" t="s">
        <v>33</v>
      </c>
      <c r="R1177" s="2" t="s">
        <v>4963</v>
      </c>
      <c r="S1177" s="1" t="s">
        <v>6244</v>
      </c>
      <c r="T1177" s="1">
        <v>1491</v>
      </c>
      <c r="U1177" s="1">
        <v>1491</v>
      </c>
      <c r="V1177" s="1">
        <v>1067</v>
      </c>
      <c r="W1177" s="1">
        <v>241</v>
      </c>
      <c r="X1177" s="1">
        <v>183</v>
      </c>
    </row>
    <row r="1178" spans="1:43" x14ac:dyDescent="0.2">
      <c r="A1178" s="1" t="s">
        <v>1135</v>
      </c>
      <c r="B1178" s="1">
        <v>19850125</v>
      </c>
      <c r="C1178" s="1" t="s">
        <v>7420</v>
      </c>
      <c r="E1178" s="21">
        <v>43</v>
      </c>
      <c r="G1178" s="1" t="s">
        <v>1136</v>
      </c>
      <c r="H1178" s="1" t="s">
        <v>7402</v>
      </c>
      <c r="I1178" s="5">
        <v>40105</v>
      </c>
      <c r="J1178" s="18" t="s">
        <v>11</v>
      </c>
      <c r="K1178" s="1" t="s">
        <v>1131</v>
      </c>
      <c r="L1178" s="1" t="s">
        <v>1132</v>
      </c>
      <c r="M1178" s="5"/>
      <c r="N1178" s="5" t="s">
        <v>10</v>
      </c>
      <c r="O1178" s="5" t="s">
        <v>10</v>
      </c>
      <c r="P1178" s="1" t="s">
        <v>1133</v>
      </c>
      <c r="Q1178" s="1" t="s">
        <v>1134</v>
      </c>
      <c r="R1178" s="2" t="s">
        <v>4839</v>
      </c>
      <c r="S1178" s="1" t="s">
        <v>6242</v>
      </c>
      <c r="T1178" s="1">
        <v>333</v>
      </c>
      <c r="U1178" s="1">
        <v>293</v>
      </c>
      <c r="X1178" s="1">
        <v>293</v>
      </c>
      <c r="AH1178" s="1">
        <v>40</v>
      </c>
      <c r="AK1178" s="1">
        <v>40</v>
      </c>
    </row>
    <row r="1179" spans="1:43" x14ac:dyDescent="0.2">
      <c r="A1179" s="1" t="s">
        <v>1753</v>
      </c>
      <c r="B1179" s="1">
        <v>19850283</v>
      </c>
      <c r="C1179" s="1" t="s">
        <v>7420</v>
      </c>
      <c r="E1179" s="21">
        <v>92</v>
      </c>
      <c r="G1179" s="1" t="s">
        <v>2338</v>
      </c>
      <c r="H1179" s="1" t="s">
        <v>446</v>
      </c>
      <c r="I1179" s="5">
        <v>40108</v>
      </c>
      <c r="J1179" s="18" t="s">
        <v>10</v>
      </c>
      <c r="K1179" s="1" t="s">
        <v>1128</v>
      </c>
      <c r="L1179" s="1" t="s">
        <v>2849</v>
      </c>
      <c r="M1179" s="5"/>
      <c r="N1179" s="5" t="s">
        <v>10</v>
      </c>
      <c r="O1179" s="5" t="s">
        <v>10</v>
      </c>
      <c r="P1179" s="1" t="s">
        <v>3392</v>
      </c>
      <c r="Q1179" s="1" t="s">
        <v>5429</v>
      </c>
      <c r="R1179" s="2" t="s">
        <v>5825</v>
      </c>
      <c r="S1179" s="1" t="s">
        <v>6244</v>
      </c>
      <c r="T1179" s="1">
        <v>5525</v>
      </c>
      <c r="U1179" s="1">
        <v>99</v>
      </c>
      <c r="X1179" s="1">
        <v>99</v>
      </c>
      <c r="AH1179" s="1">
        <v>5426</v>
      </c>
      <c r="AI1179" s="1">
        <v>3416</v>
      </c>
      <c r="AK1179" s="1">
        <v>2010</v>
      </c>
    </row>
    <row r="1180" spans="1:43" x14ac:dyDescent="0.2">
      <c r="A1180" s="1" t="s">
        <v>1138</v>
      </c>
      <c r="B1180" s="1">
        <v>19851299</v>
      </c>
      <c r="C1180" s="1" t="s">
        <v>7420</v>
      </c>
      <c r="E1180" s="21">
        <v>43</v>
      </c>
      <c r="G1180" s="1" t="s">
        <v>6886</v>
      </c>
      <c r="H1180" s="1" t="s">
        <v>7229</v>
      </c>
      <c r="I1180" s="5">
        <v>40108</v>
      </c>
      <c r="J1180" s="18" t="s">
        <v>11</v>
      </c>
      <c r="K1180" s="1" t="s">
        <v>686</v>
      </c>
      <c r="L1180" s="1" t="s">
        <v>1137</v>
      </c>
      <c r="M1180" s="5"/>
      <c r="N1180" s="5" t="s">
        <v>10</v>
      </c>
      <c r="O1180" s="5" t="s">
        <v>10</v>
      </c>
      <c r="P1180" s="1" t="s">
        <v>4403</v>
      </c>
      <c r="Q1180" s="1" t="s">
        <v>33</v>
      </c>
      <c r="R1180" s="2" t="s">
        <v>4835</v>
      </c>
      <c r="S1180" s="1" t="s">
        <v>6243</v>
      </c>
      <c r="T1180" s="1">
        <v>3925</v>
      </c>
      <c r="U1180" s="1">
        <v>3925</v>
      </c>
      <c r="V1180" s="1">
        <v>3925</v>
      </c>
    </row>
    <row r="1181" spans="1:43" x14ac:dyDescent="0.2">
      <c r="A1181" s="1" t="s">
        <v>1666</v>
      </c>
      <c r="B1181" s="1">
        <v>19853236</v>
      </c>
      <c r="C1181" s="1" t="s">
        <v>7420</v>
      </c>
      <c r="E1181" s="21">
        <v>149</v>
      </c>
      <c r="G1181" s="1" t="s">
        <v>6775</v>
      </c>
      <c r="H1181" s="1" t="s">
        <v>7218</v>
      </c>
      <c r="I1181" s="5">
        <v>40108</v>
      </c>
      <c r="J1181" s="18" t="s">
        <v>11</v>
      </c>
      <c r="K1181" s="1" t="s">
        <v>16</v>
      </c>
      <c r="L1181" s="1" t="s">
        <v>2164</v>
      </c>
      <c r="M1181" s="5"/>
      <c r="N1181" s="5" t="s">
        <v>10</v>
      </c>
      <c r="O1181" s="5" t="s">
        <v>10</v>
      </c>
      <c r="P1181" s="1" t="s">
        <v>4353</v>
      </c>
      <c r="Q1181" s="1" t="s">
        <v>4046</v>
      </c>
      <c r="R1181" s="2" t="s">
        <v>2165</v>
      </c>
      <c r="S1181" s="1" t="s">
        <v>6243</v>
      </c>
      <c r="T1181" s="1">
        <v>7558</v>
      </c>
      <c r="U1181" s="1">
        <v>6015</v>
      </c>
      <c r="V1181" s="1">
        <v>6015</v>
      </c>
      <c r="AH1181" s="1">
        <v>1543</v>
      </c>
      <c r="AI1181" s="1">
        <v>1543</v>
      </c>
    </row>
    <row r="1182" spans="1:43" x14ac:dyDescent="0.2">
      <c r="A1182" s="1" t="s">
        <v>1123</v>
      </c>
      <c r="B1182" s="1">
        <v>19862010</v>
      </c>
      <c r="C1182" s="1" t="s">
        <v>7420</v>
      </c>
      <c r="E1182" s="21">
        <v>896</v>
      </c>
      <c r="G1182" s="1" t="s">
        <v>6774</v>
      </c>
      <c r="H1182" s="1" t="s">
        <v>7219</v>
      </c>
      <c r="I1182" s="5">
        <v>40097</v>
      </c>
      <c r="J1182" s="18" t="s">
        <v>11</v>
      </c>
      <c r="K1182" s="1" t="s">
        <v>28</v>
      </c>
      <c r="L1182" s="1" t="s">
        <v>1122</v>
      </c>
      <c r="M1182" s="5"/>
      <c r="N1182" s="5" t="s">
        <v>10</v>
      </c>
      <c r="O1182" s="5" t="s">
        <v>10</v>
      </c>
      <c r="P1182" s="1" t="s">
        <v>5211</v>
      </c>
      <c r="Q1182" s="1" t="s">
        <v>5212</v>
      </c>
      <c r="R1182" s="2" t="s">
        <v>868</v>
      </c>
      <c r="S1182" s="1" t="s">
        <v>6243</v>
      </c>
      <c r="T1182" s="1">
        <v>33623</v>
      </c>
      <c r="U1182" s="1">
        <v>24167</v>
      </c>
      <c r="V1182" s="1">
        <v>24167</v>
      </c>
      <c r="AH1182" s="1">
        <v>9456</v>
      </c>
      <c r="AI1182" s="1">
        <v>9456</v>
      </c>
    </row>
    <row r="1183" spans="1:43" x14ac:dyDescent="0.2">
      <c r="A1183" s="1" t="s">
        <v>1147</v>
      </c>
      <c r="B1183" s="1">
        <v>19874204</v>
      </c>
      <c r="C1183" s="1" t="s">
        <v>7420</v>
      </c>
      <c r="E1183" s="21">
        <v>193</v>
      </c>
      <c r="G1183" s="1" t="s">
        <v>413</v>
      </c>
      <c r="H1183" s="1" t="s">
        <v>7231</v>
      </c>
      <c r="I1183" s="5">
        <v>40115</v>
      </c>
      <c r="J1183" s="18" t="s">
        <v>11</v>
      </c>
      <c r="K1183" s="1" t="s">
        <v>1145</v>
      </c>
      <c r="L1183" s="1" t="s">
        <v>1146</v>
      </c>
      <c r="M1183" s="5"/>
      <c r="N1183" s="5" t="s">
        <v>10</v>
      </c>
      <c r="O1183" s="5" t="s">
        <v>10</v>
      </c>
      <c r="P1183" s="1" t="s">
        <v>6150</v>
      </c>
      <c r="Q1183" s="1" t="s">
        <v>6151</v>
      </c>
      <c r="R1183" s="2" t="s">
        <v>4286</v>
      </c>
      <c r="S1183" s="1" t="s">
        <v>6243</v>
      </c>
      <c r="T1183" s="1">
        <v>3540</v>
      </c>
      <c r="U1183" s="1">
        <v>983</v>
      </c>
      <c r="V1183" s="1">
        <v>983</v>
      </c>
      <c r="AH1183" s="1">
        <v>2557</v>
      </c>
      <c r="AI1183" s="1">
        <v>2557</v>
      </c>
    </row>
    <row r="1184" spans="1:43" x14ac:dyDescent="0.2">
      <c r="A1184" s="1" t="s">
        <v>1144</v>
      </c>
      <c r="B1184" s="1">
        <v>19875103</v>
      </c>
      <c r="C1184" s="1" t="s">
        <v>7420</v>
      </c>
      <c r="E1184" s="21">
        <v>94019</v>
      </c>
      <c r="G1184" s="1" t="s">
        <v>6934</v>
      </c>
      <c r="H1184" s="1" t="s">
        <v>1056</v>
      </c>
      <c r="I1184" s="5">
        <v>40113</v>
      </c>
      <c r="J1184" s="18" t="s">
        <v>11</v>
      </c>
      <c r="K1184" s="1" t="s">
        <v>1128</v>
      </c>
      <c r="L1184" s="1" t="s">
        <v>1143</v>
      </c>
      <c r="M1184" s="5"/>
      <c r="N1184" s="5" t="s">
        <v>10</v>
      </c>
      <c r="O1184" s="5" t="s">
        <v>10</v>
      </c>
      <c r="P1184" s="1" t="s">
        <v>6398</v>
      </c>
      <c r="Q1184" s="1" t="s">
        <v>33</v>
      </c>
      <c r="R1184" s="2" t="s">
        <v>4157</v>
      </c>
      <c r="S1184" s="1" t="s">
        <v>6244</v>
      </c>
      <c r="T1184" s="1">
        <v>738</v>
      </c>
      <c r="U1184" s="1">
        <v>738</v>
      </c>
      <c r="V1184" s="1">
        <v>417</v>
      </c>
      <c r="W1184" s="1">
        <v>217</v>
      </c>
      <c r="AE1184" s="1">
        <v>104</v>
      </c>
    </row>
    <row r="1185" spans="1:44" x14ac:dyDescent="0.2">
      <c r="A1185" s="1" t="s">
        <v>1066</v>
      </c>
      <c r="B1185" s="1">
        <v>19875614</v>
      </c>
      <c r="C1185" s="1" t="s">
        <v>7420</v>
      </c>
      <c r="E1185" s="21">
        <v>125</v>
      </c>
      <c r="G1185" s="1" t="s">
        <v>155</v>
      </c>
      <c r="H1185" s="1" t="s">
        <v>7400</v>
      </c>
      <c r="I1185" s="5">
        <v>40115</v>
      </c>
      <c r="J1185" s="18" t="s">
        <v>11</v>
      </c>
      <c r="K1185" s="1" t="s">
        <v>90</v>
      </c>
      <c r="L1185" s="1" t="s">
        <v>1148</v>
      </c>
      <c r="M1185" s="5"/>
      <c r="N1185" s="5" t="s">
        <v>10</v>
      </c>
      <c r="O1185" s="5" t="s">
        <v>10</v>
      </c>
      <c r="P1185" s="1" t="s">
        <v>5664</v>
      </c>
      <c r="Q1185" s="1" t="s">
        <v>6133</v>
      </c>
      <c r="R1185" s="2" t="s">
        <v>6009</v>
      </c>
      <c r="S1185" s="1" t="s">
        <v>6243</v>
      </c>
      <c r="T1185" s="1">
        <v>40122</v>
      </c>
      <c r="U1185" s="1">
        <v>1304</v>
      </c>
      <c r="V1185" s="1">
        <v>1304</v>
      </c>
      <c r="AH1185" s="1">
        <v>38818</v>
      </c>
      <c r="AI1185" s="1">
        <v>38818</v>
      </c>
    </row>
    <row r="1186" spans="1:44" x14ac:dyDescent="0.2">
      <c r="A1186" s="1" t="s">
        <v>1088</v>
      </c>
      <c r="B1186" s="1">
        <v>19880490</v>
      </c>
      <c r="C1186" s="1" t="s">
        <v>7420</v>
      </c>
      <c r="E1186" s="21">
        <v>75</v>
      </c>
      <c r="G1186" s="1" t="s">
        <v>6722</v>
      </c>
      <c r="H1186" s="1" t="s">
        <v>7280</v>
      </c>
      <c r="I1186" s="5">
        <v>40116</v>
      </c>
      <c r="J1186" s="18" t="s">
        <v>11</v>
      </c>
      <c r="K1186" s="1" t="s">
        <v>455</v>
      </c>
      <c r="L1186" s="1" t="s">
        <v>1149</v>
      </c>
      <c r="M1186" s="5"/>
      <c r="N1186" s="5" t="s">
        <v>11</v>
      </c>
      <c r="O1186" s="5" t="s">
        <v>10</v>
      </c>
      <c r="P1186" s="1" t="s">
        <v>5520</v>
      </c>
      <c r="Q1186" s="1" t="s">
        <v>6335</v>
      </c>
      <c r="R1186" s="2" t="s">
        <v>4559</v>
      </c>
      <c r="S1186" s="1" t="s">
        <v>6389</v>
      </c>
      <c r="T1186" s="1">
        <v>2488</v>
      </c>
      <c r="U1186" s="1">
        <v>1919</v>
      </c>
      <c r="V1186" s="1">
        <v>1919</v>
      </c>
      <c r="AH1186" s="1">
        <v>569</v>
      </c>
      <c r="AR1186" s="1">
        <v>569</v>
      </c>
    </row>
    <row r="1187" spans="1:44" x14ac:dyDescent="0.2">
      <c r="A1187" s="1" t="s">
        <v>1161</v>
      </c>
      <c r="B1187" s="1">
        <v>19890347</v>
      </c>
      <c r="C1187" s="1" t="s">
        <v>7420</v>
      </c>
      <c r="E1187" s="21">
        <v>20</v>
      </c>
      <c r="G1187" s="1" t="s">
        <v>1162</v>
      </c>
      <c r="H1187" s="1" t="s">
        <v>137</v>
      </c>
      <c r="I1187" s="5">
        <v>40122</v>
      </c>
      <c r="J1187" s="18" t="s">
        <v>11</v>
      </c>
      <c r="K1187" s="1" t="s">
        <v>811</v>
      </c>
      <c r="L1187" s="1" t="s">
        <v>1159</v>
      </c>
      <c r="M1187" s="5"/>
      <c r="N1187" s="5" t="s">
        <v>10</v>
      </c>
      <c r="O1187" s="5" t="s">
        <v>10</v>
      </c>
      <c r="P1187" s="1" t="s">
        <v>1160</v>
      </c>
      <c r="Q1187" s="1" t="s">
        <v>33</v>
      </c>
      <c r="R1187" s="2" t="s">
        <v>4747</v>
      </c>
      <c r="S1187" s="1" t="s">
        <v>6243</v>
      </c>
      <c r="T1187" s="1">
        <v>76</v>
      </c>
      <c r="U1187" s="1">
        <v>76</v>
      </c>
      <c r="V1187" s="1">
        <v>76</v>
      </c>
    </row>
    <row r="1188" spans="1:44" x14ac:dyDescent="0.2">
      <c r="A1188" s="1" t="s">
        <v>1135</v>
      </c>
      <c r="B1188" s="1">
        <v>19893584</v>
      </c>
      <c r="C1188" s="1" t="s">
        <v>7420</v>
      </c>
      <c r="E1188" s="21">
        <v>57</v>
      </c>
      <c r="G1188" s="1" t="s">
        <v>197</v>
      </c>
      <c r="H1188" s="1" t="s">
        <v>7270</v>
      </c>
      <c r="I1188" s="5">
        <v>40123</v>
      </c>
      <c r="J1188" s="18" t="s">
        <v>11</v>
      </c>
      <c r="K1188" s="1" t="s">
        <v>689</v>
      </c>
      <c r="L1188" s="1" t="s">
        <v>1163</v>
      </c>
      <c r="M1188" s="5"/>
      <c r="N1188" s="5" t="s">
        <v>10</v>
      </c>
      <c r="O1188" s="5" t="s">
        <v>10</v>
      </c>
      <c r="P1188" s="1" t="s">
        <v>4855</v>
      </c>
      <c r="Q1188" s="1" t="s">
        <v>33</v>
      </c>
      <c r="R1188" s="2" t="s">
        <v>4503</v>
      </c>
      <c r="S1188" s="1" t="s">
        <v>6242</v>
      </c>
      <c r="T1188" s="1">
        <v>8842</v>
      </c>
      <c r="U1188" s="1">
        <v>8842</v>
      </c>
      <c r="X1188" s="1">
        <v>8842</v>
      </c>
    </row>
    <row r="1189" spans="1:44" x14ac:dyDescent="0.2">
      <c r="A1189" s="1" t="s">
        <v>1157</v>
      </c>
      <c r="B1189" s="1">
        <v>19896111</v>
      </c>
      <c r="C1189" s="1" t="s">
        <v>7420</v>
      </c>
      <c r="E1189" s="21">
        <v>194</v>
      </c>
      <c r="G1189" s="1" t="s">
        <v>1158</v>
      </c>
      <c r="H1189" s="1" t="s">
        <v>571</v>
      </c>
      <c r="I1189" s="5">
        <v>40121</v>
      </c>
      <c r="J1189" s="18" t="s">
        <v>11</v>
      </c>
      <c r="K1189" s="1" t="s">
        <v>16</v>
      </c>
      <c r="L1189" s="1" t="s">
        <v>1155</v>
      </c>
      <c r="M1189" s="5"/>
      <c r="N1189" s="5" t="s">
        <v>10</v>
      </c>
      <c r="O1189" s="5" t="s">
        <v>10</v>
      </c>
      <c r="P1189" s="1" t="s">
        <v>5515</v>
      </c>
      <c r="Q1189" s="1" t="s">
        <v>33</v>
      </c>
      <c r="R1189" s="2" t="s">
        <v>1156</v>
      </c>
      <c r="S1189" s="1" t="s">
        <v>6243</v>
      </c>
      <c r="T1189" s="1">
        <v>20985</v>
      </c>
      <c r="U1189" s="1">
        <v>20985</v>
      </c>
      <c r="V1189" s="1">
        <v>20985</v>
      </c>
    </row>
    <row r="1190" spans="1:44" x14ac:dyDescent="0.2">
      <c r="A1190" s="1" t="s">
        <v>1167</v>
      </c>
      <c r="B1190" s="1">
        <v>19897590</v>
      </c>
      <c r="C1190" s="1" t="s">
        <v>7420</v>
      </c>
      <c r="E1190" s="21">
        <v>447</v>
      </c>
      <c r="G1190" s="1" t="s">
        <v>1168</v>
      </c>
      <c r="H1190" s="1" t="s">
        <v>6896</v>
      </c>
      <c r="I1190" s="5">
        <v>40123</v>
      </c>
      <c r="J1190" s="18" t="s">
        <v>11</v>
      </c>
      <c r="K1190" s="1" t="s">
        <v>103</v>
      </c>
      <c r="L1190" s="1" t="s">
        <v>1164</v>
      </c>
      <c r="M1190" s="5"/>
      <c r="N1190" s="5" t="s">
        <v>10</v>
      </c>
      <c r="O1190" s="5" t="s">
        <v>10</v>
      </c>
      <c r="P1190" s="1" t="s">
        <v>1165</v>
      </c>
      <c r="Q1190" s="1" t="s">
        <v>1166</v>
      </c>
      <c r="R1190" s="2" t="s">
        <v>4576</v>
      </c>
      <c r="S1190" s="1" t="s">
        <v>6243</v>
      </c>
      <c r="T1190" s="1">
        <v>2434</v>
      </c>
      <c r="U1190" s="1">
        <v>1255</v>
      </c>
      <c r="V1190" s="1">
        <v>1255</v>
      </c>
      <c r="AH1190" s="1">
        <v>1179</v>
      </c>
      <c r="AI1190" s="1">
        <v>1179</v>
      </c>
    </row>
    <row r="1191" spans="1:44" x14ac:dyDescent="0.2">
      <c r="A1191" s="1" t="s">
        <v>289</v>
      </c>
      <c r="B1191" s="1">
        <v>19898621</v>
      </c>
      <c r="C1191" s="1" t="s">
        <v>7420</v>
      </c>
      <c r="E1191" s="21">
        <v>2123</v>
      </c>
      <c r="F1191" s="17">
        <v>1</v>
      </c>
      <c r="G1191" s="1" t="s">
        <v>6931</v>
      </c>
      <c r="H1191" s="1" t="s">
        <v>7372</v>
      </c>
      <c r="I1191" s="5">
        <v>40126</v>
      </c>
      <c r="J1191" s="18" t="s">
        <v>10</v>
      </c>
      <c r="K1191" s="1" t="s">
        <v>181</v>
      </c>
      <c r="L1191" s="1" t="s">
        <v>2850</v>
      </c>
      <c r="M1191" s="5"/>
      <c r="N1191" s="5" t="s">
        <v>10</v>
      </c>
      <c r="O1191" s="5" t="s">
        <v>10</v>
      </c>
      <c r="P1191" s="11" t="s">
        <v>5459</v>
      </c>
      <c r="Q1191" s="1" t="s">
        <v>33</v>
      </c>
      <c r="R1191" s="2" t="s">
        <v>5712</v>
      </c>
      <c r="S1191" s="1" t="s">
        <v>6244</v>
      </c>
      <c r="T1191" s="1">
        <v>171</v>
      </c>
      <c r="U1191" s="1">
        <v>171</v>
      </c>
      <c r="V1191" s="1">
        <v>58</v>
      </c>
      <c r="W1191" s="1">
        <v>53</v>
      </c>
      <c r="X1191" s="1">
        <v>60</v>
      </c>
    </row>
    <row r="1192" spans="1:44" x14ac:dyDescent="0.2">
      <c r="A1192" s="1" t="s">
        <v>1173</v>
      </c>
      <c r="B1192" s="1">
        <v>19902172</v>
      </c>
      <c r="C1192" s="1" t="s">
        <v>7420</v>
      </c>
      <c r="E1192" s="21">
        <v>583</v>
      </c>
      <c r="G1192" s="1" t="s">
        <v>6834</v>
      </c>
      <c r="H1192" s="1" t="s">
        <v>7384</v>
      </c>
      <c r="I1192" s="5">
        <v>40127</v>
      </c>
      <c r="J1192" s="18" t="s">
        <v>11</v>
      </c>
      <c r="K1192" s="1" t="s">
        <v>862</v>
      </c>
      <c r="L1192" s="1" t="s">
        <v>1172</v>
      </c>
      <c r="M1192" s="5"/>
      <c r="N1192" s="5" t="s">
        <v>10</v>
      </c>
      <c r="O1192" s="5" t="s">
        <v>10</v>
      </c>
      <c r="P1192" s="1" t="s">
        <v>3887</v>
      </c>
      <c r="Q1192" s="1" t="s">
        <v>3893</v>
      </c>
      <c r="R1192" s="2" t="s">
        <v>4874</v>
      </c>
      <c r="S1192" s="1" t="s">
        <v>6270</v>
      </c>
      <c r="T1192" s="1">
        <v>1043</v>
      </c>
      <c r="U1192" s="1">
        <v>229</v>
      </c>
      <c r="Z1192" s="1">
        <v>229</v>
      </c>
      <c r="AH1192" s="1">
        <v>814</v>
      </c>
      <c r="AM1192" s="1">
        <v>814</v>
      </c>
    </row>
    <row r="1193" spans="1:44" x14ac:dyDescent="0.2">
      <c r="A1193" s="1" t="s">
        <v>1171</v>
      </c>
      <c r="B1193" s="1">
        <v>19910028</v>
      </c>
      <c r="C1193" s="1" t="s">
        <v>7420</v>
      </c>
      <c r="E1193" s="21">
        <v>11</v>
      </c>
      <c r="G1193" s="1" t="s">
        <v>799</v>
      </c>
      <c r="H1193" s="1" t="s">
        <v>7052</v>
      </c>
      <c r="I1193" s="5">
        <v>40127</v>
      </c>
      <c r="J1193" s="18" t="s">
        <v>11</v>
      </c>
      <c r="K1193" s="1" t="s">
        <v>1169</v>
      </c>
      <c r="L1193" s="1" t="s">
        <v>1170</v>
      </c>
      <c r="M1193" s="5"/>
      <c r="N1193" s="5" t="s">
        <v>10</v>
      </c>
      <c r="O1193" s="5" t="s">
        <v>10</v>
      </c>
      <c r="P1193" s="1" t="s">
        <v>4078</v>
      </c>
      <c r="Q1193" s="1" t="s">
        <v>5590</v>
      </c>
      <c r="R1193" s="2" t="s">
        <v>4477</v>
      </c>
      <c r="S1193" s="1" t="s">
        <v>6244</v>
      </c>
      <c r="T1193" s="1">
        <v>9405</v>
      </c>
      <c r="U1193" s="1">
        <v>1963</v>
      </c>
      <c r="W1193" s="1">
        <v>1963</v>
      </c>
      <c r="AH1193" s="1">
        <v>7442</v>
      </c>
      <c r="AI1193" s="1">
        <v>2237</v>
      </c>
      <c r="AJ1193" s="1">
        <v>5205</v>
      </c>
    </row>
    <row r="1194" spans="1:44" x14ac:dyDescent="0.2">
      <c r="A1194" s="1" t="s">
        <v>1515</v>
      </c>
      <c r="B1194" s="1">
        <v>19910030</v>
      </c>
      <c r="C1194" s="1" t="s">
        <v>7420</v>
      </c>
      <c r="E1194" s="21">
        <v>150</v>
      </c>
      <c r="G1194" s="1" t="s">
        <v>799</v>
      </c>
      <c r="H1194" s="1" t="s">
        <v>7052</v>
      </c>
      <c r="I1194" s="5">
        <v>40128</v>
      </c>
      <c r="J1194" s="18" t="s">
        <v>10</v>
      </c>
      <c r="K1194" s="1" t="s">
        <v>1169</v>
      </c>
      <c r="L1194" s="1" t="s">
        <v>2851</v>
      </c>
      <c r="M1194" s="5"/>
      <c r="N1194" s="5" t="s">
        <v>10</v>
      </c>
      <c r="O1194" s="5" t="s">
        <v>10</v>
      </c>
      <c r="P1194" s="1" t="s">
        <v>3355</v>
      </c>
      <c r="Q1194" s="1" t="s">
        <v>33</v>
      </c>
      <c r="R1194" s="2" t="s">
        <v>5772</v>
      </c>
      <c r="S1194" s="1" t="s">
        <v>6270</v>
      </c>
      <c r="T1194" s="1">
        <v>1476</v>
      </c>
      <c r="U1194" s="1">
        <v>1476</v>
      </c>
      <c r="Z1194" s="1">
        <v>1476</v>
      </c>
    </row>
    <row r="1195" spans="1:44" x14ac:dyDescent="0.2">
      <c r="A1195" s="1" t="s">
        <v>2445</v>
      </c>
      <c r="B1195" s="1">
        <v>19913121</v>
      </c>
      <c r="C1195" s="1" t="s">
        <v>7420</v>
      </c>
      <c r="E1195" s="21">
        <v>597</v>
      </c>
      <c r="G1195" s="1" t="s">
        <v>242</v>
      </c>
      <c r="H1195" s="1" t="s">
        <v>7160</v>
      </c>
      <c r="I1195" s="5">
        <v>40118</v>
      </c>
      <c r="J1195" s="18" t="s">
        <v>10</v>
      </c>
      <c r="K1195" s="1" t="s">
        <v>16</v>
      </c>
      <c r="L1195" s="1" t="s">
        <v>2852</v>
      </c>
      <c r="M1195" s="5"/>
      <c r="N1195" s="5" t="s">
        <v>10</v>
      </c>
      <c r="O1195" s="5" t="s">
        <v>10</v>
      </c>
      <c r="P1195" s="1" t="s">
        <v>5323</v>
      </c>
      <c r="Q1195" s="1" t="s">
        <v>33</v>
      </c>
      <c r="R1195" s="2" t="s">
        <v>5777</v>
      </c>
      <c r="S1195" s="1" t="s">
        <v>6243</v>
      </c>
      <c r="T1195" s="1">
        <v>5059</v>
      </c>
      <c r="U1195" s="1">
        <v>5059</v>
      </c>
      <c r="V1195" s="1">
        <v>5059</v>
      </c>
    </row>
    <row r="1196" spans="1:44" x14ac:dyDescent="0.2">
      <c r="A1196" s="1" t="s">
        <v>1177</v>
      </c>
      <c r="B1196" s="1">
        <v>19915572</v>
      </c>
      <c r="C1196" s="1" t="s">
        <v>7420</v>
      </c>
      <c r="E1196" s="21">
        <v>42</v>
      </c>
      <c r="G1196" s="1" t="s">
        <v>557</v>
      </c>
      <c r="H1196" s="1" t="s">
        <v>558</v>
      </c>
      <c r="I1196" s="5">
        <v>40132</v>
      </c>
      <c r="J1196" s="18" t="s">
        <v>11</v>
      </c>
      <c r="K1196" s="1" t="s">
        <v>28</v>
      </c>
      <c r="L1196" s="1" t="s">
        <v>1176</v>
      </c>
      <c r="M1196" s="5"/>
      <c r="N1196" s="5" t="s">
        <v>10</v>
      </c>
      <c r="O1196" s="5" t="s">
        <v>10</v>
      </c>
      <c r="P1196" s="1" t="s">
        <v>5171</v>
      </c>
      <c r="Q1196" s="1" t="s">
        <v>5172</v>
      </c>
      <c r="R1196" s="2" t="s">
        <v>5948</v>
      </c>
      <c r="S1196" s="1" t="s">
        <v>6243</v>
      </c>
      <c r="T1196" s="1">
        <v>14917</v>
      </c>
      <c r="U1196" s="1">
        <v>7778</v>
      </c>
      <c r="V1196" s="1">
        <v>7778</v>
      </c>
      <c r="AH1196" s="1">
        <v>7139</v>
      </c>
      <c r="AI1196" s="1">
        <v>7139</v>
      </c>
    </row>
    <row r="1197" spans="1:44" x14ac:dyDescent="0.2">
      <c r="A1197" s="1" t="s">
        <v>1180</v>
      </c>
      <c r="B1197" s="1">
        <v>19915573</v>
      </c>
      <c r="C1197" s="1" t="s">
        <v>7420</v>
      </c>
      <c r="E1197" s="21">
        <v>117</v>
      </c>
      <c r="G1197" s="1" t="s">
        <v>557</v>
      </c>
      <c r="H1197" s="1" t="s">
        <v>558</v>
      </c>
      <c r="I1197" s="5">
        <v>40132</v>
      </c>
      <c r="J1197" s="18" t="s">
        <v>11</v>
      </c>
      <c r="K1197" s="1" t="s">
        <v>28</v>
      </c>
      <c r="L1197" s="1" t="s">
        <v>1178</v>
      </c>
      <c r="M1197" s="5"/>
      <c r="N1197" s="5" t="s">
        <v>10</v>
      </c>
      <c r="O1197" s="5" t="s">
        <v>10</v>
      </c>
      <c r="P1197" s="1" t="s">
        <v>1179</v>
      </c>
      <c r="Q1197" s="1" t="s">
        <v>4068</v>
      </c>
      <c r="R1197" s="2" t="s">
        <v>4369</v>
      </c>
      <c r="S1197" s="1" t="s">
        <v>6242</v>
      </c>
      <c r="T1197" s="1">
        <v>2783</v>
      </c>
      <c r="U1197" s="1">
        <v>1310</v>
      </c>
      <c r="X1197" s="1">
        <v>1310</v>
      </c>
      <c r="AH1197" s="1">
        <v>1473</v>
      </c>
      <c r="AK1197" s="1">
        <v>1473</v>
      </c>
    </row>
    <row r="1198" spans="1:44" x14ac:dyDescent="0.2">
      <c r="A1198" s="1" t="s">
        <v>1182</v>
      </c>
      <c r="B1198" s="1">
        <v>19915574</v>
      </c>
      <c r="C1198" s="1" t="s">
        <v>7420</v>
      </c>
      <c r="E1198" s="21">
        <v>112</v>
      </c>
      <c r="G1198" s="1" t="s">
        <v>21</v>
      </c>
      <c r="H1198" s="1" t="s">
        <v>22</v>
      </c>
      <c r="I1198" s="5">
        <v>40132</v>
      </c>
      <c r="J1198" s="18" t="s">
        <v>11</v>
      </c>
      <c r="K1198" s="1" t="s">
        <v>28</v>
      </c>
      <c r="L1198" s="1" t="s">
        <v>1181</v>
      </c>
      <c r="M1198" s="5"/>
      <c r="N1198" s="5" t="s">
        <v>10</v>
      </c>
      <c r="O1198" s="5" t="s">
        <v>10</v>
      </c>
      <c r="P1198" s="1" t="s">
        <v>5175</v>
      </c>
      <c r="Q1198" s="1" t="s">
        <v>5176</v>
      </c>
      <c r="R1198" s="2" t="s">
        <v>4958</v>
      </c>
      <c r="S1198" s="1" t="s">
        <v>6243</v>
      </c>
      <c r="T1198" s="1">
        <v>15389</v>
      </c>
      <c r="U1198" s="1">
        <v>8571</v>
      </c>
      <c r="V1198" s="1">
        <v>8571</v>
      </c>
      <c r="AH1198" s="1">
        <v>6818</v>
      </c>
      <c r="AI1198" s="1">
        <v>6818</v>
      </c>
    </row>
    <row r="1199" spans="1:44" x14ac:dyDescent="0.2">
      <c r="A1199" s="1" t="s">
        <v>1184</v>
      </c>
      <c r="B1199" s="1">
        <v>19915575</v>
      </c>
      <c r="C1199" s="1" t="s">
        <v>7420</v>
      </c>
      <c r="E1199" s="21">
        <v>415</v>
      </c>
      <c r="G1199" s="1" t="s">
        <v>19</v>
      </c>
      <c r="H1199" s="1" t="s">
        <v>7195</v>
      </c>
      <c r="I1199" s="5">
        <v>40132</v>
      </c>
      <c r="J1199" s="18" t="s">
        <v>11</v>
      </c>
      <c r="K1199" s="1" t="s">
        <v>28</v>
      </c>
      <c r="L1199" s="1" t="s">
        <v>1183</v>
      </c>
      <c r="M1199" s="5"/>
      <c r="N1199" s="5" t="s">
        <v>10</v>
      </c>
      <c r="O1199" s="5" t="s">
        <v>10</v>
      </c>
      <c r="P1199" s="1" t="s">
        <v>5090</v>
      </c>
      <c r="Q1199" s="1" t="s">
        <v>5091</v>
      </c>
      <c r="R1199" s="2" t="s">
        <v>4338</v>
      </c>
      <c r="S1199" s="1" t="s">
        <v>6243</v>
      </c>
      <c r="T1199" s="1">
        <v>13625</v>
      </c>
      <c r="U1199" s="1">
        <v>5691</v>
      </c>
      <c r="V1199" s="1">
        <v>5691</v>
      </c>
      <c r="AH1199" s="1">
        <v>7934</v>
      </c>
      <c r="AI1199" s="1">
        <v>7934</v>
      </c>
    </row>
    <row r="1200" spans="1:44" x14ac:dyDescent="0.2">
      <c r="A1200" s="1" t="s">
        <v>1186</v>
      </c>
      <c r="B1200" s="1">
        <v>19915576</v>
      </c>
      <c r="C1200" s="1" t="s">
        <v>7420</v>
      </c>
      <c r="E1200" s="21">
        <v>22</v>
      </c>
      <c r="G1200" s="1" t="s">
        <v>19</v>
      </c>
      <c r="H1200" s="1" t="s">
        <v>7195</v>
      </c>
      <c r="I1200" s="5">
        <v>40132</v>
      </c>
      <c r="J1200" s="18" t="s">
        <v>11</v>
      </c>
      <c r="K1200" s="1" t="s">
        <v>28</v>
      </c>
      <c r="L1200" s="1" t="s">
        <v>1185</v>
      </c>
      <c r="M1200" s="5"/>
      <c r="N1200" s="5" t="s">
        <v>10</v>
      </c>
      <c r="O1200" s="5" t="s">
        <v>10</v>
      </c>
      <c r="P1200" s="1" t="s">
        <v>4287</v>
      </c>
      <c r="Q1200" s="1" t="s">
        <v>4609</v>
      </c>
      <c r="R1200" s="2" t="s">
        <v>4610</v>
      </c>
      <c r="S1200" s="1" t="s">
        <v>6242</v>
      </c>
      <c r="T1200" s="1">
        <v>20195</v>
      </c>
      <c r="U1200" s="1">
        <v>3509</v>
      </c>
      <c r="X1200" s="1">
        <v>3509</v>
      </c>
      <c r="AH1200" s="1">
        <v>16686</v>
      </c>
      <c r="AK1200" s="1">
        <v>16686</v>
      </c>
    </row>
    <row r="1201" spans="1:44" x14ac:dyDescent="0.2">
      <c r="A1201" s="1" t="s">
        <v>1152</v>
      </c>
      <c r="B1201" s="1">
        <v>19929986</v>
      </c>
      <c r="C1201" s="1" t="s">
        <v>7420</v>
      </c>
      <c r="E1201" s="21">
        <v>21</v>
      </c>
      <c r="G1201" s="1" t="s">
        <v>1153</v>
      </c>
      <c r="H1201" s="1" t="s">
        <v>1154</v>
      </c>
      <c r="I1201" s="5">
        <v>40118</v>
      </c>
      <c r="J1201" s="18" t="s">
        <v>11</v>
      </c>
      <c r="K1201" s="1" t="s">
        <v>1150</v>
      </c>
      <c r="L1201" s="1" t="s">
        <v>1151</v>
      </c>
      <c r="M1201" s="5"/>
      <c r="N1201" s="5" t="s">
        <v>10</v>
      </c>
      <c r="O1201" s="5" t="s">
        <v>10</v>
      </c>
      <c r="P1201" s="1" t="s">
        <v>6229</v>
      </c>
      <c r="Q1201" s="1" t="s">
        <v>33</v>
      </c>
      <c r="R1201" s="2" t="s">
        <v>4484</v>
      </c>
      <c r="S1201" s="1" t="s">
        <v>6243</v>
      </c>
      <c r="T1201" s="1">
        <v>1096</v>
      </c>
      <c r="U1201" s="1">
        <v>1096</v>
      </c>
      <c r="V1201" s="1">
        <v>1096</v>
      </c>
    </row>
    <row r="1202" spans="1:44" x14ac:dyDescent="0.2">
      <c r="A1202" s="1" t="s">
        <v>553</v>
      </c>
      <c r="B1202" s="1">
        <v>19936222</v>
      </c>
      <c r="C1202" s="1" t="s">
        <v>7420</v>
      </c>
      <c r="E1202" s="21">
        <v>520</v>
      </c>
      <c r="G1202" s="1" t="s">
        <v>6998</v>
      </c>
      <c r="H1202" s="1" t="s">
        <v>7161</v>
      </c>
      <c r="I1202" s="5">
        <v>40137</v>
      </c>
      <c r="J1202" s="18" t="s">
        <v>10</v>
      </c>
      <c r="K1202" s="15" t="s">
        <v>65</v>
      </c>
      <c r="L1202" s="15" t="s">
        <v>6486</v>
      </c>
      <c r="N1202" s="5" t="s">
        <v>10</v>
      </c>
      <c r="O1202" s="5" t="s">
        <v>10</v>
      </c>
      <c r="P1202" s="1" t="s">
        <v>6656</v>
      </c>
      <c r="Q1202" s="1" t="s">
        <v>5140</v>
      </c>
      <c r="R1202" s="2" t="s">
        <v>5713</v>
      </c>
      <c r="S1202" s="1" t="s">
        <v>6389</v>
      </c>
      <c r="T1202" s="1">
        <v>26768</v>
      </c>
      <c r="U1202" s="1">
        <v>17296</v>
      </c>
      <c r="V1202" s="1">
        <v>17296</v>
      </c>
      <c r="AH1202" s="1">
        <v>9472</v>
      </c>
      <c r="AI1202" s="1">
        <v>7423</v>
      </c>
      <c r="AR1202" s="1">
        <v>2049</v>
      </c>
    </row>
    <row r="1203" spans="1:44" x14ac:dyDescent="0.2">
      <c r="A1203" s="1" t="s">
        <v>1191</v>
      </c>
      <c r="B1203" s="1">
        <v>19944697</v>
      </c>
      <c r="C1203" s="1" t="s">
        <v>7420</v>
      </c>
      <c r="E1203" s="21">
        <v>143</v>
      </c>
      <c r="G1203" s="1" t="s">
        <v>1192</v>
      </c>
      <c r="H1203" s="1" t="s">
        <v>897</v>
      </c>
      <c r="I1203" s="5">
        <v>40142</v>
      </c>
      <c r="J1203" s="18" t="s">
        <v>11</v>
      </c>
      <c r="K1203" s="1" t="s">
        <v>477</v>
      </c>
      <c r="L1203" s="1" t="s">
        <v>1189</v>
      </c>
      <c r="M1203" s="5"/>
      <c r="N1203" s="5" t="s">
        <v>10</v>
      </c>
      <c r="O1203" s="5" t="s">
        <v>10</v>
      </c>
      <c r="P1203" s="1" t="s">
        <v>1190</v>
      </c>
      <c r="Q1203" s="1" t="s">
        <v>4222</v>
      </c>
      <c r="R1203" s="2" t="s">
        <v>4577</v>
      </c>
      <c r="S1203" s="1" t="s">
        <v>6243</v>
      </c>
      <c r="T1203" s="1">
        <v>4284</v>
      </c>
      <c r="U1203" s="1">
        <v>583</v>
      </c>
      <c r="V1203" s="1">
        <v>583</v>
      </c>
      <c r="AH1203" s="1">
        <v>3701</v>
      </c>
      <c r="AI1203" s="1">
        <v>3701</v>
      </c>
    </row>
    <row r="1204" spans="1:44" x14ac:dyDescent="0.2">
      <c r="A1204" s="1" t="s">
        <v>1195</v>
      </c>
      <c r="B1204" s="1">
        <v>19950302</v>
      </c>
      <c r="C1204" s="1" t="s">
        <v>7420</v>
      </c>
      <c r="E1204" s="21">
        <v>42</v>
      </c>
      <c r="G1204" s="1" t="s">
        <v>1196</v>
      </c>
      <c r="H1204" s="1" t="s">
        <v>1197</v>
      </c>
      <c r="I1204" s="5">
        <v>40147</v>
      </c>
      <c r="J1204" s="18" t="s">
        <v>11</v>
      </c>
      <c r="K1204" s="1" t="s">
        <v>462</v>
      </c>
      <c r="L1204" s="1" t="s">
        <v>1193</v>
      </c>
      <c r="M1204" s="5"/>
      <c r="N1204" s="5" t="s">
        <v>10</v>
      </c>
      <c r="O1204" s="5" t="s">
        <v>10</v>
      </c>
      <c r="P1204" s="1" t="s">
        <v>1194</v>
      </c>
      <c r="Q1204" s="1" t="s">
        <v>6129</v>
      </c>
      <c r="R1204" s="2" t="s">
        <v>4984</v>
      </c>
      <c r="S1204" s="1" t="s">
        <v>6244</v>
      </c>
      <c r="T1204" s="1">
        <v>4544</v>
      </c>
      <c r="U1204" s="1">
        <v>690</v>
      </c>
      <c r="X1204" s="1">
        <v>690</v>
      </c>
      <c r="AH1204" s="1">
        <v>3854</v>
      </c>
      <c r="AI1204" s="1">
        <v>3854</v>
      </c>
    </row>
    <row r="1205" spans="1:44" x14ac:dyDescent="0.2">
      <c r="A1205" s="1" t="s">
        <v>2664</v>
      </c>
      <c r="B1205" s="1">
        <v>19959718</v>
      </c>
      <c r="C1205" s="1" t="s">
        <v>7420</v>
      </c>
      <c r="E1205" s="21">
        <v>41</v>
      </c>
      <c r="G1205" s="1" t="s">
        <v>6916</v>
      </c>
      <c r="H1205" s="1" t="s">
        <v>7111</v>
      </c>
      <c r="I1205" s="5">
        <v>40160</v>
      </c>
      <c r="J1205" s="18" t="s">
        <v>10</v>
      </c>
      <c r="K1205" s="1" t="s">
        <v>1551</v>
      </c>
      <c r="L1205" s="1" t="s">
        <v>2853</v>
      </c>
      <c r="N1205" s="5" t="s">
        <v>10</v>
      </c>
      <c r="O1205" s="5" t="s">
        <v>10</v>
      </c>
      <c r="P1205" s="1" t="s">
        <v>5357</v>
      </c>
      <c r="Q1205" s="1" t="s">
        <v>33</v>
      </c>
      <c r="R1205" s="2" t="s">
        <v>5908</v>
      </c>
      <c r="S1205" s="1" t="s">
        <v>6243</v>
      </c>
      <c r="T1205" s="1">
        <v>661</v>
      </c>
      <c r="U1205" s="1">
        <v>661</v>
      </c>
      <c r="V1205" s="1">
        <v>661</v>
      </c>
    </row>
    <row r="1206" spans="1:44" x14ac:dyDescent="0.2">
      <c r="A1206" s="1" t="s">
        <v>1206</v>
      </c>
      <c r="B1206" s="1">
        <v>19961619</v>
      </c>
      <c r="C1206" s="1" t="s">
        <v>7420</v>
      </c>
      <c r="E1206" s="21">
        <v>58</v>
      </c>
      <c r="G1206" s="1" t="s">
        <v>7056</v>
      </c>
      <c r="H1206" s="1" t="s">
        <v>7057</v>
      </c>
      <c r="I1206" s="5">
        <v>40153</v>
      </c>
      <c r="J1206" s="18" t="s">
        <v>11</v>
      </c>
      <c r="K1206" s="1" t="s">
        <v>220</v>
      </c>
      <c r="L1206" s="1" t="s">
        <v>1203</v>
      </c>
      <c r="M1206" s="5"/>
      <c r="N1206" s="5" t="s">
        <v>10</v>
      </c>
      <c r="O1206" s="5" t="s">
        <v>10</v>
      </c>
      <c r="P1206" s="1" t="s">
        <v>1204</v>
      </c>
      <c r="Q1206" s="1" t="s">
        <v>1205</v>
      </c>
      <c r="R1206" s="2" t="s">
        <v>6450</v>
      </c>
      <c r="S1206" s="1" t="s">
        <v>6243</v>
      </c>
      <c r="T1206" s="1">
        <v>876</v>
      </c>
      <c r="U1206" s="1">
        <v>225</v>
      </c>
      <c r="V1206" s="1">
        <v>225</v>
      </c>
      <c r="AH1206" s="1">
        <v>651</v>
      </c>
      <c r="AI1206" s="1">
        <v>651</v>
      </c>
    </row>
    <row r="1207" spans="1:44" x14ac:dyDescent="0.2">
      <c r="A1207" s="1" t="s">
        <v>1209</v>
      </c>
      <c r="B1207" s="1">
        <v>19966804</v>
      </c>
      <c r="C1207" s="1" t="s">
        <v>7420</v>
      </c>
      <c r="E1207" s="21">
        <v>373</v>
      </c>
      <c r="F1207" s="17">
        <v>1</v>
      </c>
      <c r="G1207" s="1" t="s">
        <v>675</v>
      </c>
      <c r="H1207" s="1" t="s">
        <v>7350</v>
      </c>
      <c r="I1207" s="5">
        <v>40153</v>
      </c>
      <c r="J1207" s="18" t="s">
        <v>10</v>
      </c>
      <c r="K1207" s="1" t="s">
        <v>28</v>
      </c>
      <c r="L1207" s="1" t="s">
        <v>2854</v>
      </c>
      <c r="M1207" s="5"/>
      <c r="N1207" s="5" t="s">
        <v>10</v>
      </c>
      <c r="O1207" s="5" t="s">
        <v>10</v>
      </c>
      <c r="P1207" s="2" t="s">
        <v>3327</v>
      </c>
      <c r="Q1207" s="1" t="s">
        <v>33</v>
      </c>
      <c r="R1207" s="10" t="s">
        <v>5724</v>
      </c>
      <c r="S1207" s="1" t="s">
        <v>6440</v>
      </c>
      <c r="T1207" s="1">
        <v>194</v>
      </c>
      <c r="U1207" s="1">
        <v>194</v>
      </c>
      <c r="W1207" s="1">
        <v>194</v>
      </c>
    </row>
    <row r="1208" spans="1:44" x14ac:dyDescent="0.2">
      <c r="A1208" s="1" t="s">
        <v>320</v>
      </c>
      <c r="B1208" s="1">
        <v>19966805</v>
      </c>
      <c r="C1208" s="1" t="s">
        <v>7420</v>
      </c>
      <c r="D1208" s="1" t="s">
        <v>7411</v>
      </c>
      <c r="E1208" s="21">
        <v>3</v>
      </c>
      <c r="G1208" s="1" t="s">
        <v>155</v>
      </c>
      <c r="H1208" s="1" t="s">
        <v>7400</v>
      </c>
      <c r="I1208" s="5">
        <v>40153</v>
      </c>
      <c r="J1208" s="18" t="s">
        <v>11</v>
      </c>
      <c r="K1208" s="1" t="s">
        <v>28</v>
      </c>
      <c r="L1208" s="1" t="s">
        <v>1202</v>
      </c>
      <c r="M1208" s="5"/>
      <c r="N1208" s="5" t="s">
        <v>10</v>
      </c>
      <c r="O1208" s="5" t="s">
        <v>10</v>
      </c>
      <c r="P1208" s="1" t="s">
        <v>5370</v>
      </c>
      <c r="Q1208" s="1" t="s">
        <v>5371</v>
      </c>
      <c r="R1208" s="2" t="s">
        <v>1373</v>
      </c>
      <c r="S1208" s="1" t="s">
        <v>6243</v>
      </c>
      <c r="T1208" s="1">
        <v>28221</v>
      </c>
      <c r="U1208" s="1">
        <v>16559</v>
      </c>
      <c r="V1208" s="1">
        <v>16559</v>
      </c>
      <c r="AH1208" s="1">
        <v>11662</v>
      </c>
      <c r="AI1208" s="1">
        <v>11662</v>
      </c>
    </row>
    <row r="1209" spans="1:44" x14ac:dyDescent="0.2">
      <c r="A1209" s="1" t="s">
        <v>1241</v>
      </c>
      <c r="B1209" s="1">
        <v>20009918</v>
      </c>
      <c r="C1209" s="1" t="s">
        <v>7420</v>
      </c>
      <c r="E1209" s="21">
        <v>17</v>
      </c>
      <c r="G1209" s="1" t="s">
        <v>1242</v>
      </c>
      <c r="H1209" s="1" t="s">
        <v>7243</v>
      </c>
      <c r="I1209" s="5">
        <v>40179</v>
      </c>
      <c r="J1209" s="18" t="s">
        <v>11</v>
      </c>
      <c r="K1209" s="1" t="s">
        <v>1239</v>
      </c>
      <c r="L1209" s="1" t="s">
        <v>1240</v>
      </c>
      <c r="M1209" s="5"/>
      <c r="N1209" s="5" t="s">
        <v>11</v>
      </c>
      <c r="O1209" s="5" t="s">
        <v>11</v>
      </c>
      <c r="P1209" s="1" t="s">
        <v>6217</v>
      </c>
      <c r="Q1209" s="1" t="s">
        <v>33</v>
      </c>
      <c r="R1209" s="2" t="s">
        <v>4032</v>
      </c>
      <c r="S1209" s="1" t="s">
        <v>6243</v>
      </c>
      <c r="T1209" s="1">
        <v>177</v>
      </c>
      <c r="U1209" s="1">
        <v>177</v>
      </c>
      <c r="V1209" s="1">
        <v>177</v>
      </c>
    </row>
    <row r="1210" spans="1:44" x14ac:dyDescent="0.2">
      <c r="A1210" s="1" t="s">
        <v>1217</v>
      </c>
      <c r="B1210" s="1">
        <v>20010834</v>
      </c>
      <c r="C1210" s="1" t="s">
        <v>7420</v>
      </c>
      <c r="E1210" s="21">
        <v>60</v>
      </c>
      <c r="G1210" s="1" t="s">
        <v>792</v>
      </c>
      <c r="H1210" s="1" t="s">
        <v>7292</v>
      </c>
      <c r="I1210" s="5">
        <v>40160</v>
      </c>
      <c r="J1210" s="18" t="s">
        <v>11</v>
      </c>
      <c r="K1210" s="1" t="s">
        <v>28</v>
      </c>
      <c r="L1210" s="1" t="s">
        <v>1216</v>
      </c>
      <c r="M1210" s="5"/>
      <c r="N1210" s="5" t="s">
        <v>10</v>
      </c>
      <c r="O1210" s="5" t="s">
        <v>10</v>
      </c>
      <c r="P1210" s="1" t="s">
        <v>5194</v>
      </c>
      <c r="Q1210" s="1" t="s">
        <v>5195</v>
      </c>
      <c r="R1210" s="2" t="s">
        <v>868</v>
      </c>
      <c r="S1210" s="1" t="s">
        <v>6243</v>
      </c>
      <c r="T1210" s="1">
        <v>74564</v>
      </c>
      <c r="U1210" s="1">
        <v>20288</v>
      </c>
      <c r="V1210" s="1">
        <v>20288</v>
      </c>
      <c r="AH1210" s="1">
        <v>54276</v>
      </c>
      <c r="AI1210" s="1">
        <v>54276</v>
      </c>
    </row>
    <row r="1211" spans="1:44" x14ac:dyDescent="0.2">
      <c r="A1211" s="1" t="s">
        <v>1045</v>
      </c>
      <c r="B1211" s="1">
        <v>20010835</v>
      </c>
      <c r="C1211" s="1" t="s">
        <v>7420</v>
      </c>
      <c r="E1211" s="21">
        <v>4145</v>
      </c>
      <c r="G1211" s="1" t="s">
        <v>792</v>
      </c>
      <c r="H1211" s="1" t="s">
        <v>7292</v>
      </c>
      <c r="I1211" s="5">
        <v>40160</v>
      </c>
      <c r="J1211" s="18" t="s">
        <v>11</v>
      </c>
      <c r="K1211" s="1" t="s">
        <v>28</v>
      </c>
      <c r="L1211" s="1" t="s">
        <v>1218</v>
      </c>
      <c r="M1211" s="5"/>
      <c r="N1211" s="5" t="s">
        <v>10</v>
      </c>
      <c r="O1211" s="5" t="s">
        <v>10</v>
      </c>
      <c r="P1211" s="1" t="s">
        <v>5199</v>
      </c>
      <c r="Q1211" s="1" t="s">
        <v>5200</v>
      </c>
      <c r="R1211" s="2" t="s">
        <v>4449</v>
      </c>
      <c r="S1211" s="1" t="s">
        <v>6243</v>
      </c>
      <c r="T1211" s="1">
        <v>37068</v>
      </c>
      <c r="U1211" s="1">
        <v>20890</v>
      </c>
      <c r="V1211" s="1">
        <v>20890</v>
      </c>
      <c r="AH1211" s="1">
        <v>16178</v>
      </c>
      <c r="AI1211" s="1">
        <v>16178</v>
      </c>
    </row>
    <row r="1212" spans="1:44" x14ac:dyDescent="0.2">
      <c r="A1212" s="1" t="s">
        <v>1201</v>
      </c>
      <c r="B1212" s="1">
        <v>20011104</v>
      </c>
      <c r="C1212" s="1" t="s">
        <v>7420</v>
      </c>
      <c r="E1212" s="21">
        <v>15</v>
      </c>
      <c r="G1212" s="1" t="s">
        <v>6897</v>
      </c>
      <c r="H1212" s="1" t="s">
        <v>7202</v>
      </c>
      <c r="I1212" s="5">
        <v>40152</v>
      </c>
      <c r="J1212" s="18" t="s">
        <v>11</v>
      </c>
      <c r="K1212" s="1" t="s">
        <v>65</v>
      </c>
      <c r="L1212" s="1" t="s">
        <v>1199</v>
      </c>
      <c r="M1212" s="5"/>
      <c r="N1212" s="5" t="s">
        <v>10</v>
      </c>
      <c r="O1212" s="5" t="s">
        <v>10</v>
      </c>
      <c r="P1212" s="1" t="s">
        <v>5396</v>
      </c>
      <c r="Q1212" s="1" t="s">
        <v>5578</v>
      </c>
      <c r="R1212" s="2" t="s">
        <v>1200</v>
      </c>
      <c r="S1212" s="1" t="s">
        <v>6243</v>
      </c>
      <c r="T1212" s="1">
        <v>14733</v>
      </c>
      <c r="U1212" s="1">
        <v>8531</v>
      </c>
      <c r="V1212" s="1">
        <v>8531</v>
      </c>
      <c r="AH1212" s="1">
        <v>6202</v>
      </c>
      <c r="AI1212" s="1">
        <v>6202</v>
      </c>
    </row>
    <row r="1213" spans="1:44" x14ac:dyDescent="0.2">
      <c r="A1213" s="1" t="s">
        <v>1214</v>
      </c>
      <c r="B1213" s="1">
        <v>20012890</v>
      </c>
      <c r="C1213" s="1" t="s">
        <v>7420</v>
      </c>
      <c r="E1213" s="21">
        <v>4</v>
      </c>
      <c r="G1213" s="1" t="s">
        <v>1215</v>
      </c>
      <c r="H1213" s="1" t="s">
        <v>318</v>
      </c>
      <c r="I1213" s="5">
        <v>40160</v>
      </c>
      <c r="J1213" s="18" t="s">
        <v>11</v>
      </c>
      <c r="K1213" s="1" t="s">
        <v>382</v>
      </c>
      <c r="L1213" s="1" t="s">
        <v>1212</v>
      </c>
      <c r="M1213" s="5"/>
      <c r="N1213" s="5" t="s">
        <v>10</v>
      </c>
      <c r="O1213" s="5" t="s">
        <v>10</v>
      </c>
      <c r="P1213" s="1" t="s">
        <v>1213</v>
      </c>
      <c r="Q1213" s="1" t="s">
        <v>4404</v>
      </c>
      <c r="R1213" s="2" t="s">
        <v>4615</v>
      </c>
      <c r="S1213" s="1" t="s">
        <v>6243</v>
      </c>
      <c r="T1213" s="1">
        <v>4364</v>
      </c>
      <c r="U1213" s="1">
        <v>870</v>
      </c>
      <c r="V1213" s="1">
        <v>870</v>
      </c>
      <c r="AH1213" s="1">
        <v>3494</v>
      </c>
      <c r="AI1213" s="1">
        <v>3494</v>
      </c>
    </row>
    <row r="1214" spans="1:44" x14ac:dyDescent="0.2">
      <c r="A1214" s="1" t="s">
        <v>555</v>
      </c>
      <c r="B1214" s="1">
        <v>20018283</v>
      </c>
      <c r="C1214" s="1" t="s">
        <v>7420</v>
      </c>
      <c r="E1214" s="21">
        <v>107</v>
      </c>
      <c r="G1214" s="1" t="s">
        <v>6897</v>
      </c>
      <c r="H1214" s="1" t="s">
        <v>7202</v>
      </c>
      <c r="I1214" s="5">
        <v>40149</v>
      </c>
      <c r="J1214" s="18" t="s">
        <v>11</v>
      </c>
      <c r="K1214" s="1" t="s">
        <v>816</v>
      </c>
      <c r="L1214" s="1" t="s">
        <v>1198</v>
      </c>
      <c r="M1214" s="5"/>
      <c r="N1214" s="5" t="s">
        <v>10</v>
      </c>
      <c r="O1214" s="5" t="s">
        <v>10</v>
      </c>
      <c r="P1214" s="1" t="s">
        <v>4471</v>
      </c>
      <c r="Q1214" s="1" t="s">
        <v>5555</v>
      </c>
      <c r="R1214" s="2" t="s">
        <v>6010</v>
      </c>
      <c r="S1214" s="1" t="s">
        <v>6243</v>
      </c>
      <c r="T1214" s="1">
        <v>18454</v>
      </c>
      <c r="U1214" s="1">
        <v>4659</v>
      </c>
      <c r="V1214" s="1">
        <v>4659</v>
      </c>
      <c r="AH1214" s="1">
        <v>13795</v>
      </c>
      <c r="AI1214" s="1">
        <v>13795</v>
      </c>
    </row>
    <row r="1215" spans="1:44" x14ac:dyDescent="0.2">
      <c r="A1215" s="1" t="s">
        <v>1220</v>
      </c>
      <c r="B1215" s="1">
        <v>20018961</v>
      </c>
      <c r="C1215" s="1" t="s">
        <v>7420</v>
      </c>
      <c r="E1215" s="21">
        <v>130</v>
      </c>
      <c r="G1215" s="1" t="s">
        <v>1221</v>
      </c>
      <c r="H1215" s="1" t="s">
        <v>1222</v>
      </c>
      <c r="I1215" s="5">
        <v>40163</v>
      </c>
      <c r="J1215" s="18" t="s">
        <v>11</v>
      </c>
      <c r="K1215" s="1" t="s">
        <v>157</v>
      </c>
      <c r="L1215" s="1" t="s">
        <v>1219</v>
      </c>
      <c r="M1215" s="5"/>
      <c r="N1215" s="5" t="s">
        <v>10</v>
      </c>
      <c r="O1215" s="5" t="s">
        <v>10</v>
      </c>
      <c r="P1215" s="1" t="s">
        <v>4101</v>
      </c>
      <c r="Q1215" s="1" t="s">
        <v>4593</v>
      </c>
      <c r="R1215" s="2" t="s">
        <v>4102</v>
      </c>
      <c r="S1215" s="1" t="s">
        <v>6242</v>
      </c>
      <c r="T1215" s="1">
        <v>11140</v>
      </c>
      <c r="U1215" s="1">
        <v>1931</v>
      </c>
      <c r="X1215" s="1">
        <v>1931</v>
      </c>
      <c r="AH1215" s="1">
        <v>9209</v>
      </c>
      <c r="AK1215" s="1">
        <v>9209</v>
      </c>
    </row>
    <row r="1216" spans="1:44" x14ac:dyDescent="0.2">
      <c r="A1216" s="1" t="s">
        <v>1224</v>
      </c>
      <c r="B1216" s="1">
        <v>20023658</v>
      </c>
      <c r="C1216" s="1" t="s">
        <v>7420</v>
      </c>
      <c r="E1216" s="21">
        <v>106</v>
      </c>
      <c r="G1216" s="1" t="s">
        <v>7106</v>
      </c>
      <c r="H1216" s="1" t="s">
        <v>6797</v>
      </c>
      <c r="I1216" s="5">
        <v>40167</v>
      </c>
      <c r="J1216" s="18" t="s">
        <v>11</v>
      </c>
      <c r="K1216" s="1" t="s">
        <v>28</v>
      </c>
      <c r="L1216" s="1" t="s">
        <v>1223</v>
      </c>
      <c r="M1216" s="5"/>
      <c r="N1216" s="5" t="s">
        <v>10</v>
      </c>
      <c r="O1216" s="5" t="s">
        <v>10</v>
      </c>
      <c r="P1216" s="1" t="s">
        <v>5592</v>
      </c>
      <c r="Q1216" s="1" t="s">
        <v>5593</v>
      </c>
      <c r="R1216" s="2" t="s">
        <v>4070</v>
      </c>
      <c r="S1216" s="1" t="s">
        <v>6243</v>
      </c>
      <c r="T1216" s="1">
        <v>2456</v>
      </c>
      <c r="U1216" s="1">
        <v>1717</v>
      </c>
      <c r="V1216" s="1">
        <v>1717</v>
      </c>
      <c r="AH1216" s="1">
        <v>739</v>
      </c>
      <c r="AI1216" s="1">
        <v>739</v>
      </c>
    </row>
    <row r="1217" spans="1:56" x14ac:dyDescent="0.2">
      <c r="A1217" s="1" t="s">
        <v>1141</v>
      </c>
      <c r="B1217" s="1">
        <v>20029952</v>
      </c>
      <c r="C1217" s="1" t="s">
        <v>7420</v>
      </c>
      <c r="E1217" s="21">
        <v>40</v>
      </c>
      <c r="G1217" s="1" t="s">
        <v>2576</v>
      </c>
      <c r="H1217" s="1" t="s">
        <v>1142</v>
      </c>
      <c r="I1217" s="5">
        <v>40109</v>
      </c>
      <c r="J1217" s="18" t="s">
        <v>11</v>
      </c>
      <c r="K1217" s="1" t="s">
        <v>1139</v>
      </c>
      <c r="L1217" s="1" t="s">
        <v>1140</v>
      </c>
      <c r="M1217" s="5"/>
      <c r="N1217" s="5" t="s">
        <v>10</v>
      </c>
      <c r="O1217" s="5" t="s">
        <v>10</v>
      </c>
      <c r="P1217" s="1" t="s">
        <v>4031</v>
      </c>
      <c r="Q1217" s="1" t="s">
        <v>6086</v>
      </c>
      <c r="R1217" s="2" t="s">
        <v>4990</v>
      </c>
      <c r="S1217" s="1" t="s">
        <v>6440</v>
      </c>
      <c r="T1217" s="1">
        <v>1428</v>
      </c>
      <c r="U1217" s="1">
        <v>1265</v>
      </c>
      <c r="W1217" s="1">
        <v>1265</v>
      </c>
      <c r="AH1217" s="1">
        <v>163</v>
      </c>
      <c r="AJ1217" s="1">
        <v>163</v>
      </c>
    </row>
    <row r="1218" spans="1:56" x14ac:dyDescent="0.2">
      <c r="A1218" s="1" t="s">
        <v>555</v>
      </c>
      <c r="B1218" s="1">
        <v>20031538</v>
      </c>
      <c r="C1218" s="1" t="s">
        <v>7420</v>
      </c>
      <c r="E1218" s="21">
        <v>171</v>
      </c>
      <c r="G1218" s="1" t="s">
        <v>833</v>
      </c>
      <c r="H1218" s="1" t="s">
        <v>7265</v>
      </c>
      <c r="I1218" s="5">
        <v>39722</v>
      </c>
      <c r="J1218" s="18" t="s">
        <v>11</v>
      </c>
      <c r="K1218" s="1" t="s">
        <v>551</v>
      </c>
      <c r="L1218" s="1" t="s">
        <v>554</v>
      </c>
      <c r="M1218" s="5"/>
      <c r="N1218" s="5" t="s">
        <v>10</v>
      </c>
      <c r="O1218" s="5" t="s">
        <v>10</v>
      </c>
      <c r="P1218" s="1" t="s">
        <v>4512</v>
      </c>
      <c r="Q1218" s="1" t="s">
        <v>4614</v>
      </c>
      <c r="R1218" s="2" t="s">
        <v>4777</v>
      </c>
      <c r="S1218" s="1" t="s">
        <v>6243</v>
      </c>
      <c r="T1218" s="1">
        <v>20147</v>
      </c>
      <c r="U1218" s="1">
        <v>4274</v>
      </c>
      <c r="V1218" s="1">
        <v>4274</v>
      </c>
      <c r="AH1218" s="1">
        <v>15873</v>
      </c>
      <c r="AI1218" s="1">
        <v>15873</v>
      </c>
    </row>
    <row r="1219" spans="1:56" x14ac:dyDescent="0.2">
      <c r="A1219" s="1" t="s">
        <v>721</v>
      </c>
      <c r="B1219" s="1">
        <v>20031564</v>
      </c>
      <c r="C1219" s="1" t="s">
        <v>7420</v>
      </c>
      <c r="E1219" s="21">
        <v>31</v>
      </c>
      <c r="G1219" s="1" t="s">
        <v>833</v>
      </c>
      <c r="H1219" s="1" t="s">
        <v>7266</v>
      </c>
      <c r="I1219" s="5">
        <v>39845</v>
      </c>
      <c r="J1219" s="18" t="s">
        <v>11</v>
      </c>
      <c r="K1219" s="1" t="s">
        <v>551</v>
      </c>
      <c r="L1219" s="1" t="s">
        <v>720</v>
      </c>
      <c r="M1219" s="5"/>
      <c r="N1219" s="5" t="s">
        <v>11</v>
      </c>
      <c r="O1219" s="5" t="s">
        <v>11</v>
      </c>
      <c r="P1219" s="1" t="s">
        <v>5148</v>
      </c>
      <c r="Q1219" s="1" t="s">
        <v>33</v>
      </c>
      <c r="R1219" s="2" t="s">
        <v>4819</v>
      </c>
      <c r="S1219" s="1" t="s">
        <v>6243</v>
      </c>
      <c r="T1219" s="1">
        <v>18425</v>
      </c>
      <c r="U1219" s="1">
        <v>18425</v>
      </c>
      <c r="V1219" s="1">
        <v>18425</v>
      </c>
    </row>
    <row r="1220" spans="1:56" x14ac:dyDescent="0.2">
      <c r="A1220" s="1" t="s">
        <v>801</v>
      </c>
      <c r="B1220" s="1">
        <v>20031576</v>
      </c>
      <c r="C1220" s="1" t="s">
        <v>7420</v>
      </c>
      <c r="E1220" s="21">
        <v>95</v>
      </c>
      <c r="G1220" s="1" t="s">
        <v>6901</v>
      </c>
      <c r="H1220" s="1" t="s">
        <v>7258</v>
      </c>
      <c r="I1220" s="5">
        <v>39904</v>
      </c>
      <c r="J1220" s="18" t="s">
        <v>11</v>
      </c>
      <c r="K1220" s="1" t="s">
        <v>551</v>
      </c>
      <c r="L1220" s="1" t="s">
        <v>800</v>
      </c>
      <c r="M1220" s="5"/>
      <c r="N1220" s="5" t="s">
        <v>11</v>
      </c>
      <c r="O1220" s="5" t="s">
        <v>10</v>
      </c>
      <c r="P1220" s="1" t="s">
        <v>5525</v>
      </c>
      <c r="Q1220" s="1" t="s">
        <v>5615</v>
      </c>
      <c r="R1220" s="2" t="s">
        <v>4220</v>
      </c>
      <c r="S1220" s="1" t="s">
        <v>6243</v>
      </c>
      <c r="T1220" s="1">
        <v>39782</v>
      </c>
      <c r="U1220" s="1">
        <v>22096</v>
      </c>
      <c r="V1220" s="1">
        <v>22096</v>
      </c>
      <c r="AH1220" s="1">
        <v>17686</v>
      </c>
      <c r="AI1220" s="1">
        <v>17686</v>
      </c>
    </row>
    <row r="1221" spans="1:56" x14ac:dyDescent="0.2">
      <c r="A1221" s="1" t="s">
        <v>803</v>
      </c>
      <c r="B1221" s="1">
        <v>20031577</v>
      </c>
      <c r="C1221" s="1" t="s">
        <v>7420</v>
      </c>
      <c r="E1221" s="21">
        <v>27</v>
      </c>
      <c r="G1221" s="1" t="s">
        <v>6902</v>
      </c>
      <c r="H1221" s="1" t="s">
        <v>7259</v>
      </c>
      <c r="I1221" s="5">
        <v>39904</v>
      </c>
      <c r="J1221" s="18" t="s">
        <v>11</v>
      </c>
      <c r="K1221" s="1" t="s">
        <v>551</v>
      </c>
      <c r="L1221" s="1" t="s">
        <v>802</v>
      </c>
      <c r="M1221" s="5"/>
      <c r="N1221" s="5" t="s">
        <v>11</v>
      </c>
      <c r="O1221" s="5" t="s">
        <v>11</v>
      </c>
      <c r="P1221" s="1" t="s">
        <v>5615</v>
      </c>
      <c r="Q1221" s="1" t="s">
        <v>33</v>
      </c>
      <c r="R1221" s="2" t="s">
        <v>4733</v>
      </c>
      <c r="S1221" s="1" t="s">
        <v>6243</v>
      </c>
      <c r="T1221" s="1">
        <v>17686</v>
      </c>
      <c r="U1221" s="1">
        <v>17686</v>
      </c>
      <c r="V1221" s="1">
        <v>17686</v>
      </c>
    </row>
    <row r="1222" spans="1:56" x14ac:dyDescent="0.2">
      <c r="A1222" s="1" t="s">
        <v>805</v>
      </c>
      <c r="B1222" s="1">
        <v>20031578</v>
      </c>
      <c r="C1222" s="1" t="s">
        <v>7420</v>
      </c>
      <c r="E1222" s="21">
        <v>32</v>
      </c>
      <c r="G1222" s="1" t="s">
        <v>6903</v>
      </c>
      <c r="H1222" s="1" t="s">
        <v>7259</v>
      </c>
      <c r="I1222" s="5">
        <v>39904</v>
      </c>
      <c r="J1222" s="18" t="s">
        <v>11</v>
      </c>
      <c r="K1222" s="1" t="s">
        <v>551</v>
      </c>
      <c r="L1222" s="1" t="s">
        <v>804</v>
      </c>
      <c r="M1222" s="5"/>
      <c r="N1222" s="5" t="s">
        <v>11</v>
      </c>
      <c r="O1222" s="5" t="s">
        <v>11</v>
      </c>
      <c r="P1222" s="1" t="s">
        <v>5667</v>
      </c>
      <c r="Q1222" s="1" t="s">
        <v>5125</v>
      </c>
      <c r="R1222" s="2" t="s">
        <v>4655</v>
      </c>
      <c r="S1222" s="1" t="s">
        <v>6243</v>
      </c>
      <c r="T1222" s="1">
        <v>14814</v>
      </c>
      <c r="U1222" s="1">
        <v>13974</v>
      </c>
      <c r="V1222" s="1">
        <v>13974</v>
      </c>
      <c r="AH1222" s="1">
        <v>840</v>
      </c>
      <c r="AI1222" s="1">
        <v>840</v>
      </c>
    </row>
    <row r="1223" spans="1:56" x14ac:dyDescent="0.2">
      <c r="A1223" s="1" t="s">
        <v>807</v>
      </c>
      <c r="B1223" s="1">
        <v>20031579</v>
      </c>
      <c r="C1223" s="1" t="s">
        <v>7420</v>
      </c>
      <c r="E1223" s="21">
        <v>98</v>
      </c>
      <c r="G1223" s="1" t="s">
        <v>6771</v>
      </c>
      <c r="H1223" s="1" t="s">
        <v>7214</v>
      </c>
      <c r="I1223" s="5">
        <v>39904</v>
      </c>
      <c r="J1223" s="18" t="s">
        <v>11</v>
      </c>
      <c r="K1223" s="1" t="s">
        <v>551</v>
      </c>
      <c r="L1223" s="1" t="s">
        <v>806</v>
      </c>
      <c r="M1223" s="5"/>
      <c r="N1223" s="5" t="s">
        <v>10</v>
      </c>
      <c r="O1223" s="5" t="s">
        <v>10</v>
      </c>
      <c r="P1223" s="1" t="s">
        <v>4466</v>
      </c>
      <c r="Q1223" s="1" t="s">
        <v>4071</v>
      </c>
      <c r="R1223" s="2" t="s">
        <v>4237</v>
      </c>
      <c r="S1223" s="1" t="s">
        <v>6243</v>
      </c>
      <c r="T1223" s="1">
        <v>6862</v>
      </c>
      <c r="U1223" s="1">
        <v>4221</v>
      </c>
      <c r="V1223" s="1">
        <v>4221</v>
      </c>
      <c r="AH1223" s="1">
        <v>2641</v>
      </c>
      <c r="AI1223" s="1">
        <v>2641</v>
      </c>
    </row>
    <row r="1224" spans="1:56" x14ac:dyDescent="0.2">
      <c r="A1224" s="1" t="s">
        <v>809</v>
      </c>
      <c r="B1224" s="1">
        <v>20031582</v>
      </c>
      <c r="C1224" s="1" t="s">
        <v>7420</v>
      </c>
      <c r="E1224" s="21">
        <v>2994</v>
      </c>
      <c r="G1224" s="1" t="s">
        <v>6940</v>
      </c>
      <c r="H1224" s="1" t="s">
        <v>7312</v>
      </c>
      <c r="I1224" s="5">
        <v>39904</v>
      </c>
      <c r="J1224" s="18" t="s">
        <v>11</v>
      </c>
      <c r="K1224" s="1" t="s">
        <v>551</v>
      </c>
      <c r="L1224" s="1" t="s">
        <v>808</v>
      </c>
      <c r="M1224" s="5"/>
      <c r="N1224" s="5" t="s">
        <v>10</v>
      </c>
      <c r="O1224" s="5" t="s">
        <v>10</v>
      </c>
      <c r="P1224" s="1" t="s">
        <v>3778</v>
      </c>
      <c r="Q1224" s="1" t="s">
        <v>6336</v>
      </c>
      <c r="R1224" s="2" t="s">
        <v>3908</v>
      </c>
      <c r="S1224" s="1" t="s">
        <v>6244</v>
      </c>
      <c r="T1224" s="1">
        <v>5899</v>
      </c>
      <c r="U1224" s="1">
        <v>1984</v>
      </c>
      <c r="V1224" s="1">
        <v>1984</v>
      </c>
      <c r="AH1224" s="1">
        <v>3915</v>
      </c>
      <c r="AI1224" s="1">
        <v>3761</v>
      </c>
      <c r="AJ1224" s="1">
        <v>154</v>
      </c>
    </row>
    <row r="1225" spans="1:56" x14ac:dyDescent="0.2">
      <c r="A1225" s="1" t="s">
        <v>1006</v>
      </c>
      <c r="B1225" s="1">
        <v>20031603</v>
      </c>
      <c r="C1225" s="1" t="s">
        <v>7420</v>
      </c>
      <c r="E1225" s="21">
        <v>53</v>
      </c>
      <c r="G1225" s="1" t="s">
        <v>6758</v>
      </c>
      <c r="H1225" s="1" t="s">
        <v>7252</v>
      </c>
      <c r="I1225" s="5">
        <v>40026</v>
      </c>
      <c r="J1225" s="18" t="s">
        <v>11</v>
      </c>
      <c r="K1225" s="1" t="s">
        <v>551</v>
      </c>
      <c r="L1225" s="1" t="s">
        <v>1005</v>
      </c>
      <c r="M1225" s="5"/>
      <c r="N1225" s="5" t="s">
        <v>10</v>
      </c>
      <c r="O1225" s="5" t="s">
        <v>10</v>
      </c>
      <c r="P1225" s="1" t="s">
        <v>4202</v>
      </c>
      <c r="Q1225" s="1" t="s">
        <v>33</v>
      </c>
      <c r="R1225" s="2" t="s">
        <v>4825</v>
      </c>
      <c r="S1225" s="1" t="s">
        <v>6243</v>
      </c>
      <c r="T1225" s="1">
        <v>2325</v>
      </c>
      <c r="U1225" s="1">
        <v>2325</v>
      </c>
      <c r="V1225" s="1">
        <v>2325</v>
      </c>
    </row>
    <row r="1226" spans="1:56" x14ac:dyDescent="0.2">
      <c r="A1226" s="1" t="s">
        <v>1009</v>
      </c>
      <c r="B1226" s="1">
        <v>20031604</v>
      </c>
      <c r="C1226" s="1" t="s">
        <v>7420</v>
      </c>
      <c r="E1226" s="21">
        <v>180</v>
      </c>
      <c r="G1226" s="1" t="s">
        <v>6726</v>
      </c>
      <c r="H1226" s="1" t="s">
        <v>7211</v>
      </c>
      <c r="I1226" s="5">
        <v>40026</v>
      </c>
      <c r="J1226" s="18" t="s">
        <v>11</v>
      </c>
      <c r="K1226" s="1" t="s">
        <v>551</v>
      </c>
      <c r="L1226" s="1" t="s">
        <v>1007</v>
      </c>
      <c r="M1226" s="5"/>
      <c r="N1226" s="5" t="s">
        <v>10</v>
      </c>
      <c r="O1226" s="5" t="s">
        <v>10</v>
      </c>
      <c r="P1226" s="1" t="s">
        <v>1008</v>
      </c>
      <c r="Q1226" s="1" t="s">
        <v>33</v>
      </c>
      <c r="R1226" s="2" t="s">
        <v>4846</v>
      </c>
      <c r="S1226" s="1" t="s">
        <v>6243</v>
      </c>
      <c r="T1226" s="1">
        <v>778</v>
      </c>
      <c r="U1226" s="1">
        <v>778</v>
      </c>
      <c r="V1226" s="1">
        <v>778</v>
      </c>
    </row>
    <row r="1227" spans="1:56" x14ac:dyDescent="0.2">
      <c r="A1227" s="1" t="s">
        <v>1226</v>
      </c>
      <c r="B1227" s="1">
        <v>20032318</v>
      </c>
      <c r="C1227" s="1" t="s">
        <v>7420</v>
      </c>
      <c r="E1227" s="21">
        <v>214</v>
      </c>
      <c r="G1227" s="1" t="s">
        <v>799</v>
      </c>
      <c r="H1227" s="1" t="s">
        <v>7052</v>
      </c>
      <c r="I1227" s="5">
        <v>40170</v>
      </c>
      <c r="J1227" s="18" t="s">
        <v>11</v>
      </c>
      <c r="K1227" s="1" t="s">
        <v>157</v>
      </c>
      <c r="L1227" s="1" t="s">
        <v>1225</v>
      </c>
      <c r="M1227" s="5"/>
      <c r="N1227" s="5" t="s">
        <v>10</v>
      </c>
      <c r="O1227" s="5" t="s">
        <v>10</v>
      </c>
      <c r="P1227" s="1" t="s">
        <v>5388</v>
      </c>
      <c r="Q1227" s="1" t="s">
        <v>5389</v>
      </c>
      <c r="R1227" s="2" t="s">
        <v>4955</v>
      </c>
      <c r="S1227" s="1" t="s">
        <v>6244</v>
      </c>
      <c r="T1227" s="1">
        <v>8956</v>
      </c>
      <c r="U1227" s="1">
        <v>2781</v>
      </c>
      <c r="V1227" s="1">
        <v>2781</v>
      </c>
      <c r="AH1227" s="1">
        <v>6175</v>
      </c>
      <c r="AI1227" s="1">
        <v>2463</v>
      </c>
      <c r="AJ1227" s="1">
        <v>3712</v>
      </c>
    </row>
    <row r="1228" spans="1:56" x14ac:dyDescent="0.2">
      <c r="A1228" s="1" t="s">
        <v>3404</v>
      </c>
      <c r="B1228" s="1">
        <v>20032323</v>
      </c>
      <c r="C1228" s="1" t="s">
        <v>7420</v>
      </c>
      <c r="E1228" s="21">
        <v>55</v>
      </c>
      <c r="G1228" s="1" t="s">
        <v>6746</v>
      </c>
      <c r="H1228" s="1" t="s">
        <v>7286</v>
      </c>
      <c r="I1228" s="5">
        <v>40171</v>
      </c>
      <c r="J1228" s="18" t="s">
        <v>10</v>
      </c>
      <c r="K1228" s="15" t="s">
        <v>157</v>
      </c>
      <c r="L1228" s="15" t="s">
        <v>6487</v>
      </c>
      <c r="N1228" s="5" t="s">
        <v>10</v>
      </c>
      <c r="O1228" s="5" t="s">
        <v>10</v>
      </c>
      <c r="P1228" s="1" t="s">
        <v>3403</v>
      </c>
      <c r="Q1228" s="1" t="s">
        <v>3402</v>
      </c>
      <c r="R1228" s="2" t="s">
        <v>5751</v>
      </c>
      <c r="S1228" s="1" t="s">
        <v>6248</v>
      </c>
      <c r="T1228" s="1">
        <v>19026</v>
      </c>
      <c r="U1228" s="1">
        <v>8319</v>
      </c>
      <c r="AE1228" s="1">
        <v>8319</v>
      </c>
      <c r="AH1228" s="1">
        <v>10707</v>
      </c>
      <c r="AR1228" s="1">
        <v>10707</v>
      </c>
    </row>
    <row r="1229" spans="1:56" s="3" customFormat="1" x14ac:dyDescent="0.2">
      <c r="A1229" s="1" t="s">
        <v>1230</v>
      </c>
      <c r="B1229" s="1">
        <v>20037589</v>
      </c>
      <c r="C1229" s="1" t="s">
        <v>7420</v>
      </c>
      <c r="D1229" s="1"/>
      <c r="E1229" s="21">
        <v>11115</v>
      </c>
      <c r="F1229" s="17">
        <v>1</v>
      </c>
      <c r="G1229" s="1" t="s">
        <v>6759</v>
      </c>
      <c r="H1229" s="1" t="s">
        <v>7280</v>
      </c>
      <c r="I1229" s="5">
        <v>40174</v>
      </c>
      <c r="J1229" s="18" t="s">
        <v>11</v>
      </c>
      <c r="K1229" s="1" t="s">
        <v>28</v>
      </c>
      <c r="L1229" s="1" t="s">
        <v>1228</v>
      </c>
      <c r="M1229" s="5"/>
      <c r="N1229" s="5" t="s">
        <v>11</v>
      </c>
      <c r="O1229" s="5" t="s">
        <v>10</v>
      </c>
      <c r="P1229" s="1" t="s">
        <v>4021</v>
      </c>
      <c r="Q1229" s="1" t="s">
        <v>1229</v>
      </c>
      <c r="R1229" s="2" t="s">
        <v>4728</v>
      </c>
      <c r="S1229" s="1" t="s">
        <v>6243</v>
      </c>
      <c r="T1229" s="1">
        <v>2231</v>
      </c>
      <c r="U1229" s="1">
        <v>1809</v>
      </c>
      <c r="V1229" s="1">
        <v>1809</v>
      </c>
      <c r="W1229" s="1"/>
      <c r="X1229" s="1"/>
      <c r="Y1229" s="1"/>
      <c r="Z1229" s="1"/>
      <c r="AA1229" s="1"/>
      <c r="AB1229" s="1"/>
      <c r="AC1229" s="1"/>
      <c r="AD1229" s="1"/>
      <c r="AE1229" s="1"/>
      <c r="AF1229" s="1"/>
      <c r="AG1229" s="1"/>
      <c r="AH1229" s="1">
        <v>422</v>
      </c>
      <c r="AI1229" s="1">
        <v>422</v>
      </c>
      <c r="AJ1229" s="1"/>
      <c r="AK1229" s="1"/>
      <c r="AL1229" s="1"/>
      <c r="AM1229" s="1"/>
      <c r="AN1229" s="1"/>
      <c r="AO1229" s="1"/>
      <c r="AP1229" s="1"/>
      <c r="AQ1229" s="1"/>
      <c r="AR1229" s="1"/>
      <c r="AS1229" s="1"/>
      <c r="AT1229" s="1"/>
      <c r="AU1229" s="1"/>
      <c r="AV1229" s="1"/>
      <c r="AW1229" s="1"/>
      <c r="AX1229" s="1"/>
      <c r="AY1229" s="1"/>
      <c r="AZ1229" s="1"/>
      <c r="BA1229" s="1"/>
      <c r="BB1229" s="1"/>
      <c r="BC1229" s="1"/>
      <c r="BD1229" s="1"/>
    </row>
    <row r="1230" spans="1:56" x14ac:dyDescent="0.2">
      <c r="A1230" s="1" t="s">
        <v>1235</v>
      </c>
      <c r="B1230" s="1">
        <v>20038947</v>
      </c>
      <c r="C1230" s="1" t="s">
        <v>7420</v>
      </c>
      <c r="E1230" s="21">
        <v>36589</v>
      </c>
      <c r="G1230" s="1" t="s">
        <v>634</v>
      </c>
      <c r="H1230" s="1" t="s">
        <v>635</v>
      </c>
      <c r="I1230" s="5">
        <v>40176</v>
      </c>
      <c r="J1230" s="18" t="s">
        <v>11</v>
      </c>
      <c r="K1230" s="1" t="s">
        <v>71</v>
      </c>
      <c r="L1230" s="1" t="s">
        <v>1234</v>
      </c>
      <c r="M1230" s="5"/>
      <c r="N1230" s="5" t="s">
        <v>10</v>
      </c>
      <c r="O1230" s="5" t="s">
        <v>10</v>
      </c>
      <c r="P1230" s="1" t="s">
        <v>3660</v>
      </c>
      <c r="Q1230" s="1" t="s">
        <v>33</v>
      </c>
      <c r="R1230" s="2" t="s">
        <v>6021</v>
      </c>
      <c r="S1230" s="1" t="s">
        <v>6243</v>
      </c>
      <c r="T1230" s="1">
        <v>7385</v>
      </c>
      <c r="U1230" s="1">
        <v>7385</v>
      </c>
      <c r="V1230" s="1">
        <v>7385</v>
      </c>
    </row>
    <row r="1231" spans="1:56" x14ac:dyDescent="0.2">
      <c r="A1231" s="1" t="s">
        <v>39</v>
      </c>
      <c r="B1231" s="1">
        <v>20038948</v>
      </c>
      <c r="C1231" s="1" t="s">
        <v>7420</v>
      </c>
      <c r="E1231" s="21">
        <v>8</v>
      </c>
      <c r="G1231" s="1" t="s">
        <v>7097</v>
      </c>
      <c r="H1231" s="1" t="s">
        <v>40</v>
      </c>
      <c r="I1231" s="5">
        <v>40176</v>
      </c>
      <c r="J1231" s="18" t="s">
        <v>11</v>
      </c>
      <c r="K1231" s="1" t="s">
        <v>71</v>
      </c>
      <c r="L1231" s="1" t="s">
        <v>1231</v>
      </c>
      <c r="M1231" s="5"/>
      <c r="N1231" s="5" t="s">
        <v>10</v>
      </c>
      <c r="O1231" s="5" t="s">
        <v>10</v>
      </c>
      <c r="P1231" s="1" t="s">
        <v>1232</v>
      </c>
      <c r="Q1231" s="1" t="s">
        <v>1233</v>
      </c>
      <c r="R1231" s="2" t="s">
        <v>4060</v>
      </c>
      <c r="S1231" s="1" t="s">
        <v>6243</v>
      </c>
      <c r="T1231" s="1">
        <v>2032</v>
      </c>
      <c r="U1231" s="1">
        <v>333</v>
      </c>
      <c r="V1231" s="1">
        <v>333</v>
      </c>
      <c r="AH1231" s="1">
        <v>1699</v>
      </c>
      <c r="AI1231" s="1">
        <v>1699</v>
      </c>
    </row>
    <row r="1232" spans="1:56" x14ac:dyDescent="0.2">
      <c r="A1232" s="1" t="s">
        <v>1175</v>
      </c>
      <c r="B1232" s="1">
        <v>20039944</v>
      </c>
      <c r="C1232" s="1" t="s">
        <v>7420</v>
      </c>
      <c r="E1232" s="21">
        <v>56</v>
      </c>
      <c r="G1232" s="1" t="s">
        <v>7095</v>
      </c>
      <c r="H1232" s="1" t="s">
        <v>40</v>
      </c>
      <c r="I1232" s="5">
        <v>40127</v>
      </c>
      <c r="J1232" s="18" t="s">
        <v>11</v>
      </c>
      <c r="K1232" s="1" t="s">
        <v>302</v>
      </c>
      <c r="L1232" s="1" t="s">
        <v>1174</v>
      </c>
      <c r="M1232" s="5"/>
      <c r="N1232" s="5" t="s">
        <v>10</v>
      </c>
      <c r="O1232" s="5" t="s">
        <v>10</v>
      </c>
      <c r="P1232" s="1" t="s">
        <v>6142</v>
      </c>
      <c r="Q1232" s="1" t="s">
        <v>6143</v>
      </c>
      <c r="R1232" s="2" t="s">
        <v>4843</v>
      </c>
      <c r="S1232" s="1" t="s">
        <v>6243</v>
      </c>
      <c r="T1232" s="1">
        <v>3269</v>
      </c>
      <c r="U1232" s="1">
        <v>1200</v>
      </c>
      <c r="V1232" s="1">
        <v>1200</v>
      </c>
      <c r="AH1232" s="1">
        <v>2069</v>
      </c>
      <c r="AI1232" s="1">
        <v>2069</v>
      </c>
    </row>
    <row r="1233" spans="1:38" x14ac:dyDescent="0.2">
      <c r="A1233" s="1" t="s">
        <v>190</v>
      </c>
      <c r="B1233" s="1">
        <v>20041166</v>
      </c>
      <c r="C1233" s="1" t="s">
        <v>7420</v>
      </c>
      <c r="E1233" s="21">
        <v>999</v>
      </c>
      <c r="G1233" s="1" t="s">
        <v>6847</v>
      </c>
      <c r="H1233" s="1" t="s">
        <v>7172</v>
      </c>
      <c r="I1233" s="5">
        <v>40171</v>
      </c>
      <c r="J1233" s="18" t="s">
        <v>11</v>
      </c>
      <c r="K1233" s="1" t="s">
        <v>65</v>
      </c>
      <c r="L1233" s="1" t="s">
        <v>1227</v>
      </c>
      <c r="M1233" s="5"/>
      <c r="N1233" s="5" t="s">
        <v>10</v>
      </c>
      <c r="O1233" s="5" t="s">
        <v>10</v>
      </c>
      <c r="P1233" s="1" t="s">
        <v>6221</v>
      </c>
      <c r="Q1233" s="1" t="s">
        <v>33</v>
      </c>
      <c r="R1233" s="2" t="s">
        <v>6452</v>
      </c>
      <c r="S1233" s="1" t="s">
        <v>6243</v>
      </c>
      <c r="T1233" s="1">
        <v>2362</v>
      </c>
      <c r="U1233" s="1">
        <v>2362</v>
      </c>
      <c r="V1233" s="1">
        <v>2362</v>
      </c>
    </row>
    <row r="1234" spans="1:38" x14ac:dyDescent="0.2">
      <c r="A1234" s="1" t="s">
        <v>2638</v>
      </c>
      <c r="B1234" s="1">
        <v>20042462</v>
      </c>
      <c r="C1234" s="1" t="s">
        <v>7420</v>
      </c>
      <c r="E1234" s="21">
        <v>4</v>
      </c>
      <c r="G1234" s="1" t="s">
        <v>2641</v>
      </c>
      <c r="H1234" s="1" t="s">
        <v>7170</v>
      </c>
      <c r="I1234" s="5">
        <v>40177</v>
      </c>
      <c r="J1234" s="18" t="s">
        <v>10</v>
      </c>
      <c r="K1234" s="1" t="s">
        <v>103</v>
      </c>
      <c r="L1234" s="1" t="s">
        <v>2855</v>
      </c>
      <c r="N1234" s="5" t="s">
        <v>10</v>
      </c>
      <c r="O1234" s="5" t="s">
        <v>10</v>
      </c>
      <c r="P1234" s="1" t="s">
        <v>3490</v>
      </c>
      <c r="Q1234" s="1" t="s">
        <v>3491</v>
      </c>
      <c r="R1234" s="2" t="s">
        <v>4264</v>
      </c>
      <c r="S1234" s="1" t="s">
        <v>6242</v>
      </c>
      <c r="T1234" s="1">
        <v>5614</v>
      </c>
      <c r="U1234" s="1">
        <v>1720</v>
      </c>
      <c r="X1234" s="1">
        <v>1720</v>
      </c>
      <c r="AH1234" s="1">
        <v>3894</v>
      </c>
      <c r="AK1234" s="1">
        <v>3894</v>
      </c>
    </row>
    <row r="1235" spans="1:38" x14ac:dyDescent="0.2">
      <c r="A1235" s="1" t="s">
        <v>1237</v>
      </c>
      <c r="B1235" s="1">
        <v>20044523</v>
      </c>
      <c r="C1235" s="1" t="s">
        <v>7420</v>
      </c>
      <c r="E1235" s="21">
        <v>9</v>
      </c>
      <c r="G1235" s="1" t="s">
        <v>1238</v>
      </c>
      <c r="H1235" s="1" t="s">
        <v>7333</v>
      </c>
      <c r="I1235" s="5">
        <v>40178</v>
      </c>
      <c r="J1235" s="18" t="s">
        <v>11</v>
      </c>
      <c r="K1235" s="1" t="s">
        <v>50</v>
      </c>
      <c r="L1235" s="1" t="s">
        <v>1236</v>
      </c>
      <c r="M1235" s="5"/>
      <c r="N1235" s="5" t="s">
        <v>10</v>
      </c>
      <c r="O1235" s="5" t="s">
        <v>10</v>
      </c>
      <c r="P1235" s="1" t="s">
        <v>5652</v>
      </c>
      <c r="Q1235" s="1" t="s">
        <v>5653</v>
      </c>
      <c r="R1235" s="2" t="s">
        <v>4775</v>
      </c>
      <c r="S1235" s="1" t="s">
        <v>6244</v>
      </c>
      <c r="T1235" s="1">
        <v>11867</v>
      </c>
      <c r="U1235" s="1">
        <v>9401</v>
      </c>
      <c r="V1235" s="1">
        <v>9401</v>
      </c>
      <c r="AH1235" s="1">
        <v>2466</v>
      </c>
      <c r="AI1235" s="1">
        <v>1822</v>
      </c>
      <c r="AJ1235" s="1">
        <v>644</v>
      </c>
    </row>
    <row r="1236" spans="1:38" x14ac:dyDescent="0.2">
      <c r="A1236" s="1" t="s">
        <v>1666</v>
      </c>
      <c r="B1236" s="1">
        <v>20045101</v>
      </c>
      <c r="C1236" s="1" t="s">
        <v>7420</v>
      </c>
      <c r="E1236" s="21">
        <v>32</v>
      </c>
      <c r="G1236" s="1" t="s">
        <v>2320</v>
      </c>
      <c r="H1236" s="1" t="s">
        <v>7219</v>
      </c>
      <c r="I1236" s="5">
        <v>40178</v>
      </c>
      <c r="J1236" s="18" t="s">
        <v>11</v>
      </c>
      <c r="K1236" s="1" t="s">
        <v>16</v>
      </c>
      <c r="L1236" s="1" t="s">
        <v>2319</v>
      </c>
      <c r="M1236" s="5"/>
      <c r="N1236" s="5" t="s">
        <v>10</v>
      </c>
      <c r="O1236" s="5" t="s">
        <v>10</v>
      </c>
      <c r="P1236" s="1" t="s">
        <v>4207</v>
      </c>
      <c r="Q1236" s="1" t="s">
        <v>6646</v>
      </c>
      <c r="R1236" s="2" t="s">
        <v>4896</v>
      </c>
      <c r="S1236" s="1" t="s">
        <v>6243</v>
      </c>
      <c r="T1236" s="1">
        <v>3912</v>
      </c>
      <c r="U1236" s="1">
        <v>2538</v>
      </c>
      <c r="V1236" s="1">
        <v>2538</v>
      </c>
      <c r="AH1236" s="1">
        <v>1374</v>
      </c>
      <c r="AI1236" s="1">
        <v>1374</v>
      </c>
    </row>
    <row r="1237" spans="1:38" x14ac:dyDescent="0.2">
      <c r="A1237" s="1" t="s">
        <v>1246</v>
      </c>
      <c r="B1237" s="1">
        <v>20060832</v>
      </c>
      <c r="C1237" s="1" t="s">
        <v>7420</v>
      </c>
      <c r="E1237" s="21">
        <v>39</v>
      </c>
      <c r="G1237" s="1" t="s">
        <v>1247</v>
      </c>
      <c r="H1237" s="1" t="s">
        <v>7121</v>
      </c>
      <c r="I1237" s="5">
        <v>40185</v>
      </c>
      <c r="J1237" s="18" t="s">
        <v>11</v>
      </c>
      <c r="K1237" s="1" t="s">
        <v>477</v>
      </c>
      <c r="L1237" s="1" t="s">
        <v>1245</v>
      </c>
      <c r="M1237" s="5"/>
      <c r="N1237" s="5" t="s">
        <v>10</v>
      </c>
      <c r="O1237" s="5" t="s">
        <v>10</v>
      </c>
      <c r="P1237" s="1" t="s">
        <v>3952</v>
      </c>
      <c r="Q1237" s="1" t="s">
        <v>33</v>
      </c>
      <c r="R1237" s="2" t="s">
        <v>4958</v>
      </c>
      <c r="S1237" s="1" t="s">
        <v>6243</v>
      </c>
      <c r="T1237" s="1">
        <v>1362</v>
      </c>
      <c r="U1237" s="1">
        <v>1362</v>
      </c>
      <c r="V1237" s="1">
        <v>1362</v>
      </c>
    </row>
    <row r="1238" spans="1:38" x14ac:dyDescent="0.2">
      <c r="A1238" s="1" t="s">
        <v>2696</v>
      </c>
      <c r="B1238" s="1">
        <v>20061627</v>
      </c>
      <c r="C1238" s="1" t="s">
        <v>7420</v>
      </c>
      <c r="E1238" s="21">
        <v>25570</v>
      </c>
      <c r="G1238" s="1" t="s">
        <v>89</v>
      </c>
      <c r="H1238" s="1" t="s">
        <v>7126</v>
      </c>
      <c r="I1238" s="5">
        <v>40318</v>
      </c>
      <c r="J1238" s="18" t="s">
        <v>11</v>
      </c>
      <c r="K1238" s="1" t="s">
        <v>1080</v>
      </c>
      <c r="L1238" s="1" t="s">
        <v>2698</v>
      </c>
      <c r="N1238" s="5" t="s">
        <v>10</v>
      </c>
      <c r="O1238" s="5" t="s">
        <v>10</v>
      </c>
      <c r="P1238" s="1" t="s">
        <v>3704</v>
      </c>
      <c r="Q1238" s="1" t="s">
        <v>33</v>
      </c>
      <c r="R1238" s="2" t="s">
        <v>4955</v>
      </c>
      <c r="S1238" s="1" t="s">
        <v>6243</v>
      </c>
      <c r="T1238" s="1">
        <v>699</v>
      </c>
      <c r="U1238" s="1">
        <v>699</v>
      </c>
      <c r="V1238" s="1">
        <v>699</v>
      </c>
    </row>
    <row r="1239" spans="1:38" x14ac:dyDescent="0.2">
      <c r="A1239" s="1" t="s">
        <v>1256</v>
      </c>
      <c r="B1239" s="1">
        <v>20062060</v>
      </c>
      <c r="C1239" s="1" t="s">
        <v>7420</v>
      </c>
      <c r="E1239" s="21">
        <v>16</v>
      </c>
      <c r="G1239" s="1" t="s">
        <v>6754</v>
      </c>
      <c r="H1239" s="1" t="s">
        <v>7252</v>
      </c>
      <c r="I1239" s="5">
        <v>40188</v>
      </c>
      <c r="J1239" s="18" t="s">
        <v>11</v>
      </c>
      <c r="K1239" s="1" t="s">
        <v>28</v>
      </c>
      <c r="L1239" s="1" t="s">
        <v>1255</v>
      </c>
      <c r="M1239" s="5"/>
      <c r="N1239" s="5" t="s">
        <v>10</v>
      </c>
      <c r="O1239" s="5" t="s">
        <v>10</v>
      </c>
      <c r="P1239" s="1" t="s">
        <v>5532</v>
      </c>
      <c r="Q1239" s="1" t="s">
        <v>33</v>
      </c>
      <c r="R1239" s="2" t="s">
        <v>868</v>
      </c>
      <c r="S1239" s="1" t="s">
        <v>6243</v>
      </c>
      <c r="T1239" s="1">
        <v>28517</v>
      </c>
      <c r="U1239" s="1">
        <v>28517</v>
      </c>
      <c r="V1239" s="1">
        <v>28517</v>
      </c>
    </row>
    <row r="1240" spans="1:38" x14ac:dyDescent="0.2">
      <c r="A1240" s="1" t="s">
        <v>1121</v>
      </c>
      <c r="B1240" s="1">
        <v>20062061</v>
      </c>
      <c r="C1240" s="1" t="s">
        <v>7420</v>
      </c>
      <c r="E1240" s="21">
        <v>29</v>
      </c>
      <c r="G1240" s="1" t="s">
        <v>6810</v>
      </c>
      <c r="H1240" s="1" t="s">
        <v>7252</v>
      </c>
      <c r="I1240" s="5">
        <v>40188</v>
      </c>
      <c r="J1240" s="18" t="s">
        <v>11</v>
      </c>
      <c r="K1240" s="1" t="s">
        <v>28</v>
      </c>
      <c r="L1240" s="1" t="s">
        <v>1257</v>
      </c>
      <c r="M1240" s="5"/>
      <c r="N1240" s="5" t="s">
        <v>10</v>
      </c>
      <c r="O1240" s="5" t="s">
        <v>10</v>
      </c>
      <c r="P1240" s="1" t="s">
        <v>4682</v>
      </c>
      <c r="Q1240" s="1" t="s">
        <v>4683</v>
      </c>
      <c r="R1240" s="2" t="s">
        <v>4387</v>
      </c>
      <c r="S1240" s="1" t="s">
        <v>6244</v>
      </c>
      <c r="T1240" s="1">
        <v>18156</v>
      </c>
      <c r="U1240" s="1">
        <v>6543</v>
      </c>
      <c r="Y1240" s="1">
        <v>6543</v>
      </c>
      <c r="AH1240" s="1">
        <v>11613</v>
      </c>
      <c r="AI1240" s="1">
        <v>5370</v>
      </c>
      <c r="AL1240" s="1">
        <v>6243</v>
      </c>
    </row>
    <row r="1241" spans="1:38" x14ac:dyDescent="0.2">
      <c r="A1241" s="1" t="s">
        <v>1259</v>
      </c>
      <c r="B1241" s="1">
        <v>20062062</v>
      </c>
      <c r="C1241" s="1" t="s">
        <v>7420</v>
      </c>
      <c r="E1241" s="21">
        <v>106</v>
      </c>
      <c r="G1241" s="1" t="s">
        <v>1260</v>
      </c>
      <c r="H1241" s="1" t="s">
        <v>492</v>
      </c>
      <c r="I1241" s="5">
        <v>40188</v>
      </c>
      <c r="J1241" s="18" t="s">
        <v>11</v>
      </c>
      <c r="K1241" s="1" t="s">
        <v>28</v>
      </c>
      <c r="L1241" s="1" t="s">
        <v>1258</v>
      </c>
      <c r="M1241" s="5"/>
      <c r="N1241" s="5" t="s">
        <v>10</v>
      </c>
      <c r="O1241" s="5" t="s">
        <v>10</v>
      </c>
      <c r="P1241" s="1" t="s">
        <v>5522</v>
      </c>
      <c r="Q1241" s="1" t="s">
        <v>4043</v>
      </c>
      <c r="R1241" s="2" t="s">
        <v>4822</v>
      </c>
      <c r="S1241" s="1" t="s">
        <v>6243</v>
      </c>
      <c r="T1241" s="1">
        <v>9609</v>
      </c>
      <c r="U1241" s="1">
        <v>7193</v>
      </c>
      <c r="V1241" s="1">
        <v>7193</v>
      </c>
      <c r="AH1241" s="1">
        <v>2416</v>
      </c>
      <c r="AI1241" s="1">
        <v>2416</v>
      </c>
    </row>
    <row r="1242" spans="1:38" x14ac:dyDescent="0.2">
      <c r="A1242" s="1" t="s">
        <v>1262</v>
      </c>
      <c r="B1242" s="1">
        <v>20062063</v>
      </c>
      <c r="C1242" s="1" t="s">
        <v>7420</v>
      </c>
      <c r="E1242" s="21">
        <v>89</v>
      </c>
      <c r="G1242" s="1" t="s">
        <v>6811</v>
      </c>
      <c r="H1242" s="1" t="s">
        <v>7252</v>
      </c>
      <c r="I1242" s="5">
        <v>40188</v>
      </c>
      <c r="J1242" s="18" t="s">
        <v>11</v>
      </c>
      <c r="K1242" s="1" t="s">
        <v>28</v>
      </c>
      <c r="L1242" s="1" t="s">
        <v>1261</v>
      </c>
      <c r="M1242" s="5"/>
      <c r="N1242" s="5" t="s">
        <v>10</v>
      </c>
      <c r="O1242" s="5" t="s">
        <v>10</v>
      </c>
      <c r="P1242" s="1" t="s">
        <v>4290</v>
      </c>
      <c r="Q1242" s="1" t="s">
        <v>5038</v>
      </c>
      <c r="R1242" s="2" t="s">
        <v>4696</v>
      </c>
      <c r="S1242" s="1" t="s">
        <v>6243</v>
      </c>
      <c r="T1242" s="1">
        <v>23022</v>
      </c>
      <c r="U1242" s="1">
        <v>12670</v>
      </c>
      <c r="V1242" s="1">
        <v>12670</v>
      </c>
      <c r="AH1242" s="1">
        <v>10352</v>
      </c>
      <c r="AI1242" s="1">
        <v>10352</v>
      </c>
    </row>
    <row r="1243" spans="1:38" x14ac:dyDescent="0.2">
      <c r="A1243" s="1" t="s">
        <v>1264</v>
      </c>
      <c r="B1243" s="1">
        <v>20062064</v>
      </c>
      <c r="C1243" s="1" t="s">
        <v>7420</v>
      </c>
      <c r="E1243" s="21">
        <v>23</v>
      </c>
      <c r="G1243" s="1" t="s">
        <v>6790</v>
      </c>
      <c r="H1243" s="1" t="s">
        <v>6672</v>
      </c>
      <c r="I1243" s="5">
        <v>40188</v>
      </c>
      <c r="J1243" s="18" t="s">
        <v>11</v>
      </c>
      <c r="K1243" s="1" t="s">
        <v>28</v>
      </c>
      <c r="L1243" s="1" t="s">
        <v>1263</v>
      </c>
      <c r="M1243" s="5"/>
      <c r="N1243" s="5" t="s">
        <v>10</v>
      </c>
      <c r="O1243" s="5" t="s">
        <v>10</v>
      </c>
      <c r="P1243" s="1" t="s">
        <v>4086</v>
      </c>
      <c r="Q1243" s="1" t="s">
        <v>4479</v>
      </c>
      <c r="R1243" s="2" t="s">
        <v>4924</v>
      </c>
      <c r="S1243" s="1" t="s">
        <v>6243</v>
      </c>
      <c r="T1243" s="1">
        <v>8292</v>
      </c>
      <c r="U1243" s="1">
        <v>1943</v>
      </c>
      <c r="V1243" s="1">
        <v>1943</v>
      </c>
      <c r="AH1243" s="1">
        <v>6349</v>
      </c>
      <c r="AI1243" s="1">
        <v>6349</v>
      </c>
    </row>
    <row r="1244" spans="1:38" x14ac:dyDescent="0.2">
      <c r="A1244" s="1" t="s">
        <v>1265</v>
      </c>
      <c r="B1244" s="1">
        <v>20064070</v>
      </c>
      <c r="C1244" s="1" t="s">
        <v>7420</v>
      </c>
      <c r="E1244" s="21">
        <v>43</v>
      </c>
      <c r="G1244" s="1" t="s">
        <v>6845</v>
      </c>
      <c r="H1244" s="1" t="s">
        <v>7172</v>
      </c>
      <c r="I1244" s="5">
        <v>40189</v>
      </c>
      <c r="J1244" s="18" t="s">
        <v>10</v>
      </c>
      <c r="K1244" s="1" t="s">
        <v>657</v>
      </c>
      <c r="L1244" s="1" t="s">
        <v>2856</v>
      </c>
      <c r="M1244" s="5"/>
      <c r="N1244" s="5" t="s">
        <v>10</v>
      </c>
      <c r="O1244" s="5" t="s">
        <v>10</v>
      </c>
      <c r="P1244" s="1" t="s">
        <v>6654</v>
      </c>
      <c r="Q1244" s="1" t="s">
        <v>5132</v>
      </c>
      <c r="R1244" s="2" t="s">
        <v>5846</v>
      </c>
      <c r="S1244" s="1" t="s">
        <v>6243</v>
      </c>
      <c r="T1244" s="1">
        <v>746</v>
      </c>
      <c r="U1244" s="1">
        <v>156</v>
      </c>
      <c r="V1244" s="1">
        <v>156</v>
      </c>
      <c r="AH1244" s="1">
        <v>590</v>
      </c>
      <c r="AI1244" s="1">
        <v>590</v>
      </c>
    </row>
    <row r="1245" spans="1:38" x14ac:dyDescent="0.2">
      <c r="A1245" s="1" t="s">
        <v>1269</v>
      </c>
      <c r="B1245" s="1">
        <v>20066004</v>
      </c>
      <c r="C1245" s="1" t="s">
        <v>7420</v>
      </c>
      <c r="D1245" s="1" t="s">
        <v>7411</v>
      </c>
      <c r="E1245" s="21">
        <v>3</v>
      </c>
      <c r="G1245" s="1" t="s">
        <v>6770</v>
      </c>
      <c r="H1245" s="1" t="s">
        <v>7211</v>
      </c>
      <c r="I1245" s="5">
        <v>40190</v>
      </c>
      <c r="J1245" s="18" t="s">
        <v>11</v>
      </c>
      <c r="K1245" s="1" t="s">
        <v>113</v>
      </c>
      <c r="L1245" s="1" t="s">
        <v>1266</v>
      </c>
      <c r="M1245" s="5"/>
      <c r="N1245" s="5" t="s">
        <v>10</v>
      </c>
      <c r="O1245" s="5" t="s">
        <v>10</v>
      </c>
      <c r="P1245" s="1" t="s">
        <v>1267</v>
      </c>
      <c r="Q1245" s="1" t="s">
        <v>1268</v>
      </c>
      <c r="R1245" s="2" t="s">
        <v>4955</v>
      </c>
      <c r="S1245" s="1" t="s">
        <v>6242</v>
      </c>
      <c r="T1245" s="1">
        <v>1023</v>
      </c>
      <c r="U1245" s="1">
        <v>400</v>
      </c>
      <c r="X1245" s="1">
        <v>400</v>
      </c>
      <c r="AH1245" s="1">
        <v>623</v>
      </c>
      <c r="AK1245" s="1">
        <v>623</v>
      </c>
    </row>
    <row r="1246" spans="1:38" x14ac:dyDescent="0.2">
      <c r="A1246" s="1" t="s">
        <v>1252</v>
      </c>
      <c r="B1246" s="1">
        <v>20066028</v>
      </c>
      <c r="C1246" s="1" t="s">
        <v>7420</v>
      </c>
      <c r="E1246" s="21">
        <v>939</v>
      </c>
      <c r="G1246" s="1" t="s">
        <v>242</v>
      </c>
      <c r="H1246" s="1" t="s">
        <v>7160</v>
      </c>
      <c r="I1246" s="5">
        <v>40186</v>
      </c>
      <c r="J1246" s="18" t="s">
        <v>11</v>
      </c>
      <c r="K1246" s="1" t="s">
        <v>65</v>
      </c>
      <c r="L1246" s="1" t="s">
        <v>1250</v>
      </c>
      <c r="M1246" s="5"/>
      <c r="N1246" s="5" t="s">
        <v>10</v>
      </c>
      <c r="O1246" s="5" t="s">
        <v>10</v>
      </c>
      <c r="P1246" s="1" t="s">
        <v>1251</v>
      </c>
      <c r="Q1246" s="1" t="s">
        <v>4389</v>
      </c>
      <c r="R1246" s="2" t="s">
        <v>4097</v>
      </c>
      <c r="S1246" s="1" t="s">
        <v>6243</v>
      </c>
      <c r="T1246" s="1">
        <v>4652</v>
      </c>
      <c r="U1246" s="1">
        <v>656</v>
      </c>
      <c r="V1246" s="1">
        <v>656</v>
      </c>
      <c r="AH1246" s="1">
        <v>3996</v>
      </c>
      <c r="AI1246" s="1">
        <v>3996</v>
      </c>
    </row>
    <row r="1247" spans="1:38" x14ac:dyDescent="0.2">
      <c r="A1247" s="1" t="s">
        <v>1272</v>
      </c>
      <c r="B1247" s="1">
        <v>20068591</v>
      </c>
      <c r="C1247" s="1" t="s">
        <v>7420</v>
      </c>
      <c r="E1247" s="21">
        <v>75</v>
      </c>
      <c r="G1247" s="1" t="s">
        <v>7045</v>
      </c>
      <c r="H1247" s="1" t="s">
        <v>1273</v>
      </c>
      <c r="I1247" s="5">
        <v>40191</v>
      </c>
      <c r="J1247" s="18" t="s">
        <v>11</v>
      </c>
      <c r="K1247" s="1" t="s">
        <v>592</v>
      </c>
      <c r="L1247" s="1" t="s">
        <v>1270</v>
      </c>
      <c r="M1247" s="5"/>
      <c r="N1247" s="5" t="s">
        <v>10</v>
      </c>
      <c r="O1247" s="5" t="s">
        <v>10</v>
      </c>
      <c r="P1247" s="1" t="s">
        <v>1271</v>
      </c>
      <c r="Q1247" s="1" t="s">
        <v>33</v>
      </c>
      <c r="R1247" s="2" t="s">
        <v>4367</v>
      </c>
      <c r="S1247" s="1" t="s">
        <v>6243</v>
      </c>
      <c r="T1247" s="1">
        <v>347</v>
      </c>
      <c r="U1247" s="1">
        <v>347</v>
      </c>
      <c r="V1247" s="1">
        <v>347</v>
      </c>
    </row>
    <row r="1248" spans="1:38" x14ac:dyDescent="0.2">
      <c r="A1248" s="1" t="s">
        <v>1275</v>
      </c>
      <c r="B1248" s="1">
        <v>20070850</v>
      </c>
      <c r="C1248" s="1" t="s">
        <v>7420</v>
      </c>
      <c r="E1248" s="21">
        <v>66</v>
      </c>
      <c r="G1248" s="1" t="s">
        <v>19</v>
      </c>
      <c r="H1248" s="1" t="s">
        <v>7195</v>
      </c>
      <c r="I1248" s="5">
        <v>40191</v>
      </c>
      <c r="J1248" s="18" t="s">
        <v>11</v>
      </c>
      <c r="K1248" s="1" t="s">
        <v>906</v>
      </c>
      <c r="L1248" s="1" t="s">
        <v>1274</v>
      </c>
      <c r="M1248" s="5"/>
      <c r="N1248" s="5" t="s">
        <v>10</v>
      </c>
      <c r="O1248" s="5" t="s">
        <v>10</v>
      </c>
      <c r="P1248" s="1" t="s">
        <v>6216</v>
      </c>
      <c r="Q1248" s="1" t="s">
        <v>33</v>
      </c>
      <c r="R1248" s="2" t="s">
        <v>4556</v>
      </c>
      <c r="S1248" s="1" t="s">
        <v>6243</v>
      </c>
      <c r="T1248" s="1">
        <v>3497</v>
      </c>
      <c r="U1248" s="1">
        <v>3497</v>
      </c>
      <c r="V1248" s="1">
        <v>3497</v>
      </c>
    </row>
    <row r="1249" spans="1:37" x14ac:dyDescent="0.2">
      <c r="A1249" s="1" t="s">
        <v>1147</v>
      </c>
      <c r="B1249" s="1">
        <v>20072603</v>
      </c>
      <c r="C1249" s="1" t="s">
        <v>7420</v>
      </c>
      <c r="E1249" s="21">
        <v>13</v>
      </c>
      <c r="G1249" s="1" t="s">
        <v>1002</v>
      </c>
      <c r="H1249" s="1" t="s">
        <v>430</v>
      </c>
      <c r="I1249" s="5">
        <v>40186</v>
      </c>
      <c r="J1249" s="18" t="s">
        <v>11</v>
      </c>
      <c r="K1249" s="1" t="s">
        <v>65</v>
      </c>
      <c r="L1249" s="1" t="s">
        <v>1253</v>
      </c>
      <c r="M1249" s="5"/>
      <c r="N1249" s="5" t="s">
        <v>10</v>
      </c>
      <c r="O1249" s="5" t="s">
        <v>10</v>
      </c>
      <c r="P1249" s="1" t="s">
        <v>1254</v>
      </c>
      <c r="Q1249" s="1" t="s">
        <v>6659</v>
      </c>
      <c r="R1249" s="2" t="s">
        <v>4064</v>
      </c>
      <c r="S1249" s="1" t="s">
        <v>6242</v>
      </c>
      <c r="T1249" s="1">
        <v>1606</v>
      </c>
      <c r="U1249" s="1">
        <v>700</v>
      </c>
      <c r="X1249" s="1">
        <v>700</v>
      </c>
      <c r="AH1249" s="1">
        <v>906</v>
      </c>
      <c r="AK1249" s="1">
        <v>906</v>
      </c>
    </row>
    <row r="1250" spans="1:37" x14ac:dyDescent="0.2">
      <c r="A1250" s="1" t="s">
        <v>1284</v>
      </c>
      <c r="B1250" s="1">
        <v>20081856</v>
      </c>
      <c r="C1250" s="1" t="s">
        <v>7420</v>
      </c>
      <c r="E1250" s="21">
        <v>24022</v>
      </c>
      <c r="G1250" s="1" t="s">
        <v>1285</v>
      </c>
      <c r="H1250" s="1" t="s">
        <v>7149</v>
      </c>
      <c r="I1250" s="5">
        <v>40195</v>
      </c>
      <c r="J1250" s="18" t="s">
        <v>11</v>
      </c>
      <c r="K1250" s="1" t="s">
        <v>28</v>
      </c>
      <c r="L1250" s="1" t="s">
        <v>1282</v>
      </c>
      <c r="M1250" s="5"/>
      <c r="N1250" s="5" t="s">
        <v>10</v>
      </c>
      <c r="O1250" s="5" t="s">
        <v>10</v>
      </c>
      <c r="P1250" s="1" t="s">
        <v>4929</v>
      </c>
      <c r="Q1250" s="1" t="s">
        <v>4254</v>
      </c>
      <c r="R1250" s="2" t="s">
        <v>1283</v>
      </c>
      <c r="S1250" s="1" t="s">
        <v>6243</v>
      </c>
      <c r="T1250" s="1">
        <v>20431</v>
      </c>
      <c r="U1250" s="1">
        <v>15754</v>
      </c>
      <c r="V1250" s="1">
        <v>15754</v>
      </c>
      <c r="AH1250" s="1">
        <v>4677</v>
      </c>
      <c r="AI1250" s="1">
        <v>4677</v>
      </c>
    </row>
    <row r="1251" spans="1:37" x14ac:dyDescent="0.2">
      <c r="A1251" s="1" t="s">
        <v>1278</v>
      </c>
      <c r="B1251" s="1">
        <v>20081857</v>
      </c>
      <c r="C1251" s="1" t="s">
        <v>7420</v>
      </c>
      <c r="E1251" s="21">
        <v>126480</v>
      </c>
      <c r="G1251" s="1" t="s">
        <v>1279</v>
      </c>
      <c r="H1251" s="1" t="s">
        <v>7392</v>
      </c>
      <c r="I1251" s="5">
        <v>40195</v>
      </c>
      <c r="J1251" s="18" t="s">
        <v>11</v>
      </c>
      <c r="K1251" s="1" t="s">
        <v>28</v>
      </c>
      <c r="L1251" s="1" t="s">
        <v>1276</v>
      </c>
      <c r="M1251" s="5"/>
      <c r="N1251" s="5" t="s">
        <v>10</v>
      </c>
      <c r="O1251" s="5" t="s">
        <v>10</v>
      </c>
      <c r="P1251" s="1" t="s">
        <v>4562</v>
      </c>
      <c r="Q1251" s="1" t="s">
        <v>4986</v>
      </c>
      <c r="R1251" s="2" t="s">
        <v>1277</v>
      </c>
      <c r="S1251" s="1" t="s">
        <v>6243</v>
      </c>
      <c r="T1251" s="1">
        <v>45854</v>
      </c>
      <c r="U1251" s="1">
        <v>15234</v>
      </c>
      <c r="V1251" s="1">
        <v>15234</v>
      </c>
      <c r="AH1251" s="1">
        <v>30620</v>
      </c>
      <c r="AI1251" s="1">
        <v>30620</v>
      </c>
    </row>
    <row r="1252" spans="1:37" x14ac:dyDescent="0.2">
      <c r="A1252" s="1" t="s">
        <v>1281</v>
      </c>
      <c r="B1252" s="1">
        <v>20081858</v>
      </c>
      <c r="C1252" s="1" t="s">
        <v>7420</v>
      </c>
      <c r="E1252" s="21">
        <v>546944</v>
      </c>
      <c r="G1252" s="1" t="s">
        <v>6833</v>
      </c>
      <c r="H1252" s="1" t="s">
        <v>7381</v>
      </c>
      <c r="I1252" s="5">
        <v>40195</v>
      </c>
      <c r="J1252" s="18" t="s">
        <v>11</v>
      </c>
      <c r="K1252" s="1" t="s">
        <v>28</v>
      </c>
      <c r="L1252" s="1" t="s">
        <v>1280</v>
      </c>
      <c r="M1252" s="5"/>
      <c r="N1252" s="5" t="s">
        <v>10</v>
      </c>
      <c r="O1252" s="5" t="s">
        <v>10</v>
      </c>
      <c r="P1252" s="1" t="s">
        <v>5586</v>
      </c>
      <c r="Q1252" s="1" t="s">
        <v>5449</v>
      </c>
      <c r="R1252" s="2" t="s">
        <v>868</v>
      </c>
      <c r="S1252" s="1" t="s">
        <v>6243</v>
      </c>
      <c r="T1252" s="1">
        <v>122744</v>
      </c>
      <c r="U1252" s="1">
        <v>46186</v>
      </c>
      <c r="V1252" s="1">
        <v>46186</v>
      </c>
      <c r="AH1252" s="1">
        <v>76558</v>
      </c>
      <c r="AI1252" s="1">
        <v>76558</v>
      </c>
    </row>
    <row r="1253" spans="1:37" x14ac:dyDescent="0.2">
      <c r="A1253" s="1" t="s">
        <v>2648</v>
      </c>
      <c r="B1253" s="1">
        <v>20084173</v>
      </c>
      <c r="C1253" s="1" t="s">
        <v>7420</v>
      </c>
      <c r="E1253" s="21">
        <v>76</v>
      </c>
      <c r="F1253" s="17">
        <v>1</v>
      </c>
      <c r="G1253" s="1" t="s">
        <v>2418</v>
      </c>
      <c r="H1253" s="1" t="s">
        <v>7359</v>
      </c>
      <c r="I1253" s="5">
        <v>40191</v>
      </c>
      <c r="J1253" s="18" t="s">
        <v>10</v>
      </c>
      <c r="K1253" s="1" t="s">
        <v>181</v>
      </c>
      <c r="L1253" s="1" t="s">
        <v>2857</v>
      </c>
      <c r="N1253" s="5" t="s">
        <v>10</v>
      </c>
      <c r="O1253" s="5" t="s">
        <v>10</v>
      </c>
      <c r="P1253" s="1" t="s">
        <v>5485</v>
      </c>
      <c r="Q1253" s="1" t="s">
        <v>33</v>
      </c>
      <c r="R1253" s="1" t="s">
        <v>5824</v>
      </c>
      <c r="S1253" s="1" t="s">
        <v>6244</v>
      </c>
      <c r="T1253" s="1">
        <v>1087</v>
      </c>
      <c r="U1253" s="1">
        <v>1087</v>
      </c>
      <c r="V1253" s="1">
        <v>979</v>
      </c>
      <c r="W1253" s="1">
        <v>59</v>
      </c>
      <c r="Z1253" s="1">
        <v>49</v>
      </c>
    </row>
    <row r="1254" spans="1:37" x14ac:dyDescent="0.2">
      <c r="A1254" s="1" t="s">
        <v>1287</v>
      </c>
      <c r="B1254" s="1">
        <v>20096396</v>
      </c>
      <c r="C1254" s="1" t="s">
        <v>7420</v>
      </c>
      <c r="E1254" s="21">
        <v>90</v>
      </c>
      <c r="G1254" s="1" t="s">
        <v>413</v>
      </c>
      <c r="H1254" s="1" t="s">
        <v>7234</v>
      </c>
      <c r="I1254" s="5">
        <v>40198</v>
      </c>
      <c r="J1254" s="18" t="s">
        <v>11</v>
      </c>
      <c r="K1254" s="1" t="s">
        <v>16</v>
      </c>
      <c r="L1254" s="1" t="s">
        <v>1286</v>
      </c>
      <c r="M1254" s="5"/>
      <c r="N1254" s="5" t="s">
        <v>11</v>
      </c>
      <c r="O1254" s="5" t="s">
        <v>10</v>
      </c>
      <c r="P1254" s="1" t="s">
        <v>5672</v>
      </c>
      <c r="Q1254" s="1" t="s">
        <v>5673</v>
      </c>
      <c r="R1254" s="2" t="s">
        <v>4847</v>
      </c>
      <c r="S1254" s="1" t="s">
        <v>6244</v>
      </c>
      <c r="T1254" s="1">
        <v>18883</v>
      </c>
      <c r="U1254" s="1">
        <v>785</v>
      </c>
      <c r="X1254" s="1">
        <v>785</v>
      </c>
      <c r="AH1254" s="1">
        <v>18098</v>
      </c>
      <c r="AI1254" s="1">
        <v>13913</v>
      </c>
      <c r="AK1254" s="1">
        <v>4185</v>
      </c>
    </row>
    <row r="1255" spans="1:37" x14ac:dyDescent="0.2">
      <c r="A1255" s="1" t="s">
        <v>2668</v>
      </c>
      <c r="B1255" s="1">
        <v>20098615</v>
      </c>
      <c r="C1255" s="1" t="s">
        <v>7420</v>
      </c>
      <c r="E1255" s="21">
        <v>23</v>
      </c>
      <c r="G1255" s="1" t="s">
        <v>2669</v>
      </c>
      <c r="H1255" s="1" t="s">
        <v>7168</v>
      </c>
      <c r="I1255" s="5">
        <v>40199</v>
      </c>
      <c r="J1255" s="18" t="s">
        <v>10</v>
      </c>
      <c r="K1255" s="1" t="s">
        <v>181</v>
      </c>
      <c r="L1255" s="1" t="s">
        <v>2858</v>
      </c>
      <c r="N1255" s="5" t="s">
        <v>10</v>
      </c>
      <c r="O1255" s="5" t="s">
        <v>10</v>
      </c>
      <c r="P1255" s="1" t="s">
        <v>3548</v>
      </c>
      <c r="Q1255" s="1" t="s">
        <v>33</v>
      </c>
      <c r="R1255" s="6" t="s">
        <v>6471</v>
      </c>
      <c r="S1255" s="1" t="s">
        <v>6248</v>
      </c>
      <c r="T1255" s="1">
        <v>898</v>
      </c>
      <c r="U1255" s="1">
        <v>898</v>
      </c>
      <c r="AE1255" s="1">
        <v>898</v>
      </c>
    </row>
    <row r="1256" spans="1:37" ht="11.25" customHeight="1" x14ac:dyDescent="0.2">
      <c r="A1256" s="1" t="s">
        <v>1290</v>
      </c>
      <c r="B1256" s="1">
        <v>20100581</v>
      </c>
      <c r="C1256" s="1" t="s">
        <v>7420</v>
      </c>
      <c r="D1256" s="1">
        <v>1</v>
      </c>
      <c r="E1256" s="21">
        <v>0</v>
      </c>
      <c r="G1256" s="1" t="s">
        <v>1291</v>
      </c>
      <c r="H1256" s="1" t="s">
        <v>7237</v>
      </c>
      <c r="I1256" s="5">
        <v>40200</v>
      </c>
      <c r="J1256" s="18" t="s">
        <v>11</v>
      </c>
      <c r="K1256" s="1" t="s">
        <v>1288</v>
      </c>
      <c r="L1256" s="1" t="s">
        <v>1289</v>
      </c>
      <c r="M1256" s="5"/>
      <c r="N1256" s="5" t="s">
        <v>10</v>
      </c>
      <c r="O1256" s="5" t="s">
        <v>10</v>
      </c>
      <c r="P1256" s="1" t="s">
        <v>6215</v>
      </c>
      <c r="Q1256" s="1" t="s">
        <v>33</v>
      </c>
      <c r="R1256" s="2" t="s">
        <v>4989</v>
      </c>
      <c r="S1256" s="1" t="s">
        <v>6243</v>
      </c>
      <c r="T1256" s="1">
        <v>733</v>
      </c>
      <c r="U1256" s="1">
        <v>733</v>
      </c>
      <c r="V1256" s="1">
        <v>733</v>
      </c>
    </row>
    <row r="1257" spans="1:37" x14ac:dyDescent="0.2">
      <c r="A1257" s="1" t="s">
        <v>1293</v>
      </c>
      <c r="B1257" s="1">
        <v>20101243</v>
      </c>
      <c r="C1257" s="1" t="s">
        <v>7420</v>
      </c>
      <c r="E1257" s="21">
        <v>9</v>
      </c>
      <c r="G1257" s="1" t="s">
        <v>1012</v>
      </c>
      <c r="H1257" s="1" t="s">
        <v>7415</v>
      </c>
      <c r="I1257" s="5">
        <v>40202</v>
      </c>
      <c r="J1257" s="18" t="s">
        <v>11</v>
      </c>
      <c r="K1257" s="1" t="s">
        <v>28</v>
      </c>
      <c r="L1257" s="1" t="s">
        <v>1292</v>
      </c>
      <c r="M1257" s="5"/>
      <c r="N1257" s="5" t="s">
        <v>10</v>
      </c>
      <c r="O1257" s="5" t="s">
        <v>10</v>
      </c>
      <c r="P1257" s="1" t="s">
        <v>3670</v>
      </c>
      <c r="Q1257" s="1" t="s">
        <v>33</v>
      </c>
      <c r="R1257" s="2" t="s">
        <v>3924</v>
      </c>
      <c r="S1257" s="1" t="s">
        <v>6244</v>
      </c>
      <c r="T1257" s="1">
        <v>7785</v>
      </c>
      <c r="U1257" s="1">
        <v>7785</v>
      </c>
      <c r="AD1257" s="1">
        <v>7785</v>
      </c>
    </row>
    <row r="1258" spans="1:37" x14ac:dyDescent="0.2">
      <c r="A1258" s="1" t="s">
        <v>1249</v>
      </c>
      <c r="B1258" s="1">
        <v>20112360</v>
      </c>
      <c r="C1258" s="1" t="s">
        <v>7420</v>
      </c>
      <c r="E1258" s="21">
        <v>56</v>
      </c>
      <c r="G1258" s="1" t="s">
        <v>429</v>
      </c>
      <c r="H1258" s="1" t="s">
        <v>430</v>
      </c>
      <c r="I1258" s="5">
        <v>40185</v>
      </c>
      <c r="J1258" s="18" t="s">
        <v>11</v>
      </c>
      <c r="K1258" s="1" t="s">
        <v>462</v>
      </c>
      <c r="L1258" s="1" t="s">
        <v>1248</v>
      </c>
      <c r="M1258" s="5"/>
      <c r="N1258" s="5" t="s">
        <v>10</v>
      </c>
      <c r="O1258" s="5" t="s">
        <v>10</v>
      </c>
      <c r="P1258" s="1" t="s">
        <v>4329</v>
      </c>
      <c r="Q1258" s="1" t="s">
        <v>4967</v>
      </c>
      <c r="R1258" s="2" t="s">
        <v>4968</v>
      </c>
      <c r="S1258" s="1" t="s">
        <v>6243</v>
      </c>
      <c r="T1258" s="1">
        <v>58434</v>
      </c>
      <c r="U1258" s="1">
        <v>4837</v>
      </c>
      <c r="V1258" s="1">
        <v>4837</v>
      </c>
      <c r="AH1258" s="1">
        <v>53597</v>
      </c>
      <c r="AI1258" s="1">
        <v>53597</v>
      </c>
    </row>
    <row r="1259" spans="1:37" x14ac:dyDescent="0.2">
      <c r="A1259" s="1" t="s">
        <v>1298</v>
      </c>
      <c r="B1259" s="1">
        <v>20125088</v>
      </c>
      <c r="C1259" s="1" t="s">
        <v>7420</v>
      </c>
      <c r="E1259" s="21">
        <v>15803</v>
      </c>
      <c r="G1259" s="1" t="s">
        <v>1299</v>
      </c>
      <c r="H1259" s="1" t="s">
        <v>1300</v>
      </c>
      <c r="I1259" s="5">
        <v>40211</v>
      </c>
      <c r="J1259" s="18" t="s">
        <v>11</v>
      </c>
      <c r="K1259" s="1" t="s">
        <v>71</v>
      </c>
      <c r="L1259" s="1" t="s">
        <v>1297</v>
      </c>
      <c r="M1259" s="5"/>
      <c r="N1259" s="5" t="s">
        <v>10</v>
      </c>
      <c r="O1259" s="5" t="s">
        <v>10</v>
      </c>
      <c r="P1259" s="1" t="s">
        <v>3955</v>
      </c>
      <c r="Q1259" s="1" t="s">
        <v>33</v>
      </c>
      <c r="R1259" s="2" t="s">
        <v>3956</v>
      </c>
      <c r="S1259" s="1" t="s">
        <v>6243</v>
      </c>
      <c r="T1259" s="1">
        <v>2656</v>
      </c>
      <c r="U1259" s="1">
        <v>2656</v>
      </c>
      <c r="V1259" s="1">
        <v>2656</v>
      </c>
    </row>
    <row r="1260" spans="1:37" x14ac:dyDescent="0.2">
      <c r="A1260" s="1" t="s">
        <v>1302</v>
      </c>
      <c r="B1260" s="1">
        <v>20125193</v>
      </c>
      <c r="C1260" s="1" t="s">
        <v>7420</v>
      </c>
      <c r="E1260" s="21">
        <v>2392</v>
      </c>
      <c r="G1260" s="1" t="s">
        <v>1069</v>
      </c>
      <c r="H1260" s="1" t="s">
        <v>40</v>
      </c>
      <c r="I1260" s="5">
        <v>40212</v>
      </c>
      <c r="J1260" s="18" t="s">
        <v>11</v>
      </c>
      <c r="K1260" s="1" t="s">
        <v>592</v>
      </c>
      <c r="L1260" s="1" t="s">
        <v>1301</v>
      </c>
      <c r="M1260" s="5"/>
      <c r="N1260" s="5" t="s">
        <v>10</v>
      </c>
      <c r="O1260" s="5" t="s">
        <v>10</v>
      </c>
      <c r="P1260" s="1" t="s">
        <v>3457</v>
      </c>
      <c r="Q1260" s="1" t="s">
        <v>33</v>
      </c>
      <c r="R1260" s="2" t="s">
        <v>4322</v>
      </c>
      <c r="S1260" s="1" t="s">
        <v>6244</v>
      </c>
      <c r="T1260" s="1">
        <v>1086</v>
      </c>
      <c r="U1260" s="1">
        <v>1086</v>
      </c>
      <c r="V1260" s="1">
        <v>813</v>
      </c>
      <c r="X1260" s="1">
        <v>241</v>
      </c>
      <c r="Z1260" s="1">
        <v>7</v>
      </c>
      <c r="AE1260" s="1">
        <v>25</v>
      </c>
    </row>
    <row r="1261" spans="1:37" x14ac:dyDescent="0.2">
      <c r="A1261" s="1" t="s">
        <v>1304</v>
      </c>
      <c r="B1261" s="1">
        <v>20139977</v>
      </c>
      <c r="C1261" s="1" t="s">
        <v>7420</v>
      </c>
      <c r="E1261" s="21">
        <v>63</v>
      </c>
      <c r="G1261" s="1" t="s">
        <v>827</v>
      </c>
      <c r="H1261" s="1" t="s">
        <v>7323</v>
      </c>
      <c r="I1261" s="5">
        <v>40216</v>
      </c>
      <c r="J1261" s="18" t="s">
        <v>11</v>
      </c>
      <c r="K1261" s="1" t="s">
        <v>28</v>
      </c>
      <c r="L1261" s="1" t="s">
        <v>1303</v>
      </c>
      <c r="M1261" s="5"/>
      <c r="N1261" s="5" t="s">
        <v>10</v>
      </c>
      <c r="O1261" s="5" t="s">
        <v>10</v>
      </c>
      <c r="P1261" s="1" t="s">
        <v>4216</v>
      </c>
      <c r="Q1261" s="1" t="s">
        <v>4906</v>
      </c>
      <c r="R1261" s="2" t="s">
        <v>4573</v>
      </c>
      <c r="S1261" s="1" t="s">
        <v>6243</v>
      </c>
      <c r="T1261" s="1">
        <v>12409</v>
      </c>
      <c r="U1261" s="1">
        <v>2917</v>
      </c>
      <c r="V1261" s="1">
        <v>2917</v>
      </c>
      <c r="AH1261" s="1">
        <v>9492</v>
      </c>
      <c r="AI1261" s="1">
        <v>9492</v>
      </c>
    </row>
    <row r="1262" spans="1:37" x14ac:dyDescent="0.2">
      <c r="A1262" s="1" t="s">
        <v>300</v>
      </c>
      <c r="B1262" s="1">
        <v>20139978</v>
      </c>
      <c r="C1262" s="1" t="s">
        <v>7420</v>
      </c>
      <c r="E1262" s="21">
        <v>157</v>
      </c>
      <c r="G1262" s="1" t="s">
        <v>6925</v>
      </c>
      <c r="H1262" s="1" t="s">
        <v>7217</v>
      </c>
      <c r="I1262" s="5">
        <v>40216</v>
      </c>
      <c r="J1262" s="18" t="s">
        <v>11</v>
      </c>
      <c r="K1262" s="1" t="s">
        <v>28</v>
      </c>
      <c r="L1262" s="1" t="s">
        <v>1305</v>
      </c>
      <c r="M1262" s="5"/>
      <c r="N1262" s="5" t="s">
        <v>10</v>
      </c>
      <c r="O1262" s="5" t="s">
        <v>10</v>
      </c>
      <c r="P1262" s="1" t="s">
        <v>4511</v>
      </c>
      <c r="Q1262" s="1" t="s">
        <v>33</v>
      </c>
      <c r="R1262" s="2" t="s">
        <v>4695</v>
      </c>
      <c r="S1262" s="1" t="s">
        <v>6242</v>
      </c>
      <c r="T1262" s="1">
        <v>14700</v>
      </c>
      <c r="U1262" s="1">
        <v>14700</v>
      </c>
      <c r="X1262" s="1">
        <v>14700</v>
      </c>
    </row>
    <row r="1263" spans="1:37" x14ac:dyDescent="0.2">
      <c r="A1263" s="1" t="s">
        <v>1335</v>
      </c>
      <c r="B1263" s="1">
        <v>20147318</v>
      </c>
      <c r="C1263" s="1" t="s">
        <v>7420</v>
      </c>
      <c r="E1263" s="21">
        <v>23</v>
      </c>
      <c r="G1263" s="1" t="s">
        <v>6954</v>
      </c>
      <c r="H1263" s="1" t="s">
        <v>7317</v>
      </c>
      <c r="I1263" s="5">
        <v>40231</v>
      </c>
      <c r="J1263" s="18" t="s">
        <v>11</v>
      </c>
      <c r="K1263" s="1" t="s">
        <v>103</v>
      </c>
      <c r="L1263" s="1" t="s">
        <v>1334</v>
      </c>
      <c r="M1263" s="5"/>
      <c r="N1263" s="5" t="s">
        <v>11</v>
      </c>
      <c r="O1263" s="5" t="s">
        <v>11</v>
      </c>
      <c r="P1263" s="1" t="s">
        <v>5046</v>
      </c>
      <c r="Q1263" s="1" t="s">
        <v>5047</v>
      </c>
      <c r="R1263" s="2" t="s">
        <v>3949</v>
      </c>
      <c r="S1263" s="1" t="s">
        <v>6243</v>
      </c>
      <c r="T1263" s="1">
        <v>1523</v>
      </c>
      <c r="U1263" s="1">
        <v>1005</v>
      </c>
      <c r="V1263" s="1">
        <v>1005</v>
      </c>
      <c r="AH1263" s="1">
        <v>518</v>
      </c>
      <c r="AI1263" s="1">
        <v>518</v>
      </c>
    </row>
    <row r="1264" spans="1:37" x14ac:dyDescent="0.2">
      <c r="A1264" s="1" t="s">
        <v>1307</v>
      </c>
      <c r="B1264" s="1">
        <v>20150558</v>
      </c>
      <c r="C1264" s="1" t="s">
        <v>7420</v>
      </c>
      <c r="E1264" s="21">
        <v>24</v>
      </c>
      <c r="G1264" s="1" t="s">
        <v>6852</v>
      </c>
      <c r="H1264" s="1" t="s">
        <v>7279</v>
      </c>
      <c r="I1264" s="5">
        <v>40220</v>
      </c>
      <c r="J1264" s="18" t="s">
        <v>11</v>
      </c>
      <c r="K1264" s="1" t="s">
        <v>529</v>
      </c>
      <c r="L1264" s="1" t="s">
        <v>1306</v>
      </c>
      <c r="M1264" s="5"/>
      <c r="N1264" s="5" t="s">
        <v>11</v>
      </c>
      <c r="O1264" s="5" t="s">
        <v>11</v>
      </c>
      <c r="P1264" s="1" t="s">
        <v>5074</v>
      </c>
      <c r="Q1264" s="1" t="s">
        <v>5075</v>
      </c>
      <c r="R1264" s="2" t="s">
        <v>4428</v>
      </c>
      <c r="S1264" s="1" t="s">
        <v>6243</v>
      </c>
      <c r="T1264" s="1">
        <v>1958</v>
      </c>
      <c r="U1264" s="1">
        <v>1523</v>
      </c>
      <c r="V1264" s="1">
        <v>1523</v>
      </c>
      <c r="AH1264" s="1">
        <v>435</v>
      </c>
      <c r="AI1264" s="1">
        <v>435</v>
      </c>
    </row>
    <row r="1265" spans="1:45" x14ac:dyDescent="0.2">
      <c r="A1265" s="1" t="s">
        <v>2657</v>
      </c>
      <c r="B1265" s="1">
        <v>20152958</v>
      </c>
      <c r="C1265" s="1" t="s">
        <v>7420</v>
      </c>
      <c r="E1265" s="21">
        <v>37</v>
      </c>
      <c r="G1265" s="1" t="s">
        <v>453</v>
      </c>
      <c r="H1265" s="1" t="s">
        <v>7381</v>
      </c>
      <c r="I1265" s="5">
        <v>40220</v>
      </c>
      <c r="J1265" s="18" t="s">
        <v>10</v>
      </c>
      <c r="K1265" s="1" t="s">
        <v>16</v>
      </c>
      <c r="L1265" s="1" t="s">
        <v>2859</v>
      </c>
      <c r="N1265" s="5" t="s">
        <v>10</v>
      </c>
      <c r="O1265" s="5" t="s">
        <v>10</v>
      </c>
      <c r="P1265" s="1" t="s">
        <v>3060</v>
      </c>
      <c r="Q1265" s="1" t="s">
        <v>3061</v>
      </c>
      <c r="R1265" s="2" t="s">
        <v>5995</v>
      </c>
      <c r="S1265" s="1" t="s">
        <v>6244</v>
      </c>
      <c r="T1265" s="1">
        <v>14853</v>
      </c>
      <c r="U1265" s="1">
        <v>9457</v>
      </c>
      <c r="V1265" s="1">
        <v>7428</v>
      </c>
      <c r="W1265" s="1">
        <v>2029</v>
      </c>
      <c r="AH1265" s="1">
        <v>5396</v>
      </c>
      <c r="AI1265" s="1">
        <v>3825</v>
      </c>
      <c r="AJ1265" s="1">
        <v>1571</v>
      </c>
    </row>
    <row r="1266" spans="1:45" x14ac:dyDescent="0.2">
      <c r="A1266" s="1" t="s">
        <v>1313</v>
      </c>
      <c r="B1266" s="1">
        <v>20154341</v>
      </c>
      <c r="C1266" s="1" t="s">
        <v>7420</v>
      </c>
      <c r="E1266" s="21">
        <v>10</v>
      </c>
      <c r="G1266" s="1" t="s">
        <v>6850</v>
      </c>
      <c r="H1266" s="1" t="s">
        <v>7258</v>
      </c>
      <c r="I1266" s="5">
        <v>40222</v>
      </c>
      <c r="J1266" s="18" t="s">
        <v>11</v>
      </c>
      <c r="K1266" s="1" t="s">
        <v>103</v>
      </c>
      <c r="L1266" s="1" t="s">
        <v>1312</v>
      </c>
      <c r="M1266" s="5"/>
      <c r="N1266" s="5" t="s">
        <v>11</v>
      </c>
      <c r="O1266" s="5" t="s">
        <v>10</v>
      </c>
      <c r="P1266" s="1" t="s">
        <v>4018</v>
      </c>
      <c r="Q1266" s="1" t="s">
        <v>4019</v>
      </c>
      <c r="R1266" s="2" t="s">
        <v>4337</v>
      </c>
      <c r="S1266" s="1" t="s">
        <v>6436</v>
      </c>
      <c r="T1266" s="1">
        <v>3465</v>
      </c>
      <c r="U1266" s="1">
        <v>1786</v>
      </c>
      <c r="AF1266" s="1">
        <v>1786</v>
      </c>
      <c r="AH1266" s="1">
        <v>1679</v>
      </c>
      <c r="AS1266" s="1">
        <v>1679</v>
      </c>
    </row>
    <row r="1267" spans="1:45" x14ac:dyDescent="0.2">
      <c r="A1267" s="1" t="s">
        <v>1315</v>
      </c>
      <c r="B1267" s="1">
        <v>20154673</v>
      </c>
      <c r="C1267" s="1" t="s">
        <v>7420</v>
      </c>
      <c r="E1267" s="21">
        <v>100</v>
      </c>
      <c r="G1267" s="1" t="s">
        <v>6822</v>
      </c>
      <c r="H1267" s="1" t="s">
        <v>7237</v>
      </c>
      <c r="I1267" s="5">
        <v>40223</v>
      </c>
      <c r="J1267" s="18" t="s">
        <v>11</v>
      </c>
      <c r="K1267" s="1" t="s">
        <v>28</v>
      </c>
      <c r="L1267" s="1" t="s">
        <v>1314</v>
      </c>
      <c r="M1267" s="5"/>
      <c r="N1267" s="5" t="s">
        <v>10</v>
      </c>
      <c r="O1267" s="5" t="s">
        <v>10</v>
      </c>
      <c r="P1267" s="1" t="s">
        <v>5557</v>
      </c>
      <c r="Q1267" s="1" t="s">
        <v>5558</v>
      </c>
      <c r="R1267" s="2" t="s">
        <v>4958</v>
      </c>
      <c r="S1267" s="1" t="s">
        <v>6243</v>
      </c>
      <c r="T1267" s="1">
        <v>3666</v>
      </c>
      <c r="U1267" s="1">
        <v>3024</v>
      </c>
      <c r="V1267" s="1">
        <v>3024</v>
      </c>
      <c r="AH1267" s="1">
        <v>642</v>
      </c>
      <c r="AI1267" s="1">
        <v>642</v>
      </c>
    </row>
    <row r="1268" spans="1:45" x14ac:dyDescent="0.2">
      <c r="A1268" s="1" t="s">
        <v>2654</v>
      </c>
      <c r="B1268" s="1">
        <v>20158304</v>
      </c>
      <c r="C1268" s="1" t="s">
        <v>7420</v>
      </c>
      <c r="E1268" s="21">
        <v>242</v>
      </c>
      <c r="G1268" s="1" t="s">
        <v>2655</v>
      </c>
      <c r="H1268" s="1" t="s">
        <v>7156</v>
      </c>
      <c r="I1268" s="5">
        <v>40224</v>
      </c>
      <c r="J1268" s="18" t="s">
        <v>10</v>
      </c>
      <c r="K1268" s="1" t="s">
        <v>1408</v>
      </c>
      <c r="L1268" s="1" t="s">
        <v>2860</v>
      </c>
      <c r="N1268" s="5" t="s">
        <v>10</v>
      </c>
      <c r="O1268" s="5" t="s">
        <v>10</v>
      </c>
      <c r="P1268" s="1" t="s">
        <v>3381</v>
      </c>
      <c r="Q1268" s="1" t="s">
        <v>3380</v>
      </c>
      <c r="R1268" s="2" t="s">
        <v>5978</v>
      </c>
      <c r="S1268" s="1" t="s">
        <v>6243</v>
      </c>
      <c r="T1268" s="1">
        <v>7155</v>
      </c>
      <c r="U1268" s="1">
        <v>2386</v>
      </c>
      <c r="V1268" s="1">
        <v>2386</v>
      </c>
      <c r="AH1268" s="1">
        <v>4769</v>
      </c>
      <c r="AI1268" s="1">
        <v>4769</v>
      </c>
    </row>
    <row r="1269" spans="1:45" x14ac:dyDescent="0.2">
      <c r="A1269" s="1" t="s">
        <v>2618</v>
      </c>
      <c r="B1269" s="1">
        <v>20159110</v>
      </c>
      <c r="C1269" s="1" t="s">
        <v>7420</v>
      </c>
      <c r="E1269" s="21">
        <v>219</v>
      </c>
      <c r="F1269" s="17">
        <v>1</v>
      </c>
      <c r="G1269" s="1" t="s">
        <v>7065</v>
      </c>
      <c r="H1269" s="1" t="s">
        <v>7344</v>
      </c>
      <c r="I1269" s="5">
        <v>40221</v>
      </c>
      <c r="J1269" s="18" t="s">
        <v>10</v>
      </c>
      <c r="K1269" s="1" t="s">
        <v>16</v>
      </c>
      <c r="L1269" s="1" t="s">
        <v>2861</v>
      </c>
      <c r="N1269" s="5" t="s">
        <v>10</v>
      </c>
      <c r="O1269" s="5" t="s">
        <v>10</v>
      </c>
      <c r="P1269" s="1" t="s">
        <v>3351</v>
      </c>
      <c r="Q1269" s="1" t="s">
        <v>5489</v>
      </c>
      <c r="R1269" s="1" t="s">
        <v>5827</v>
      </c>
      <c r="S1269" s="1" t="s">
        <v>6248</v>
      </c>
      <c r="T1269" s="1">
        <v>100</v>
      </c>
      <c r="U1269" s="1">
        <v>10</v>
      </c>
      <c r="AE1269" s="1">
        <v>10</v>
      </c>
      <c r="AH1269" s="1">
        <v>90</v>
      </c>
      <c r="AR1269" s="1">
        <v>90</v>
      </c>
    </row>
    <row r="1270" spans="1:45" x14ac:dyDescent="0.2">
      <c r="A1270" s="1" t="s">
        <v>1310</v>
      </c>
      <c r="B1270" s="1">
        <v>20159113</v>
      </c>
      <c r="C1270" s="1" t="s">
        <v>7420</v>
      </c>
      <c r="E1270" s="21">
        <v>28</v>
      </c>
      <c r="G1270" s="1" t="s">
        <v>175</v>
      </c>
      <c r="H1270" s="1" t="s">
        <v>7402</v>
      </c>
      <c r="I1270" s="5">
        <v>40221</v>
      </c>
      <c r="J1270" s="18" t="s">
        <v>11</v>
      </c>
      <c r="K1270" s="1" t="s">
        <v>16</v>
      </c>
      <c r="L1270" s="1" t="s">
        <v>1308</v>
      </c>
      <c r="M1270" s="5"/>
      <c r="N1270" s="5" t="s">
        <v>10</v>
      </c>
      <c r="O1270" s="5" t="s">
        <v>10</v>
      </c>
      <c r="P1270" s="1" t="s">
        <v>1309</v>
      </c>
      <c r="Q1270" s="1" t="s">
        <v>5027</v>
      </c>
      <c r="R1270" s="2" t="s">
        <v>4765</v>
      </c>
      <c r="S1270" s="1" t="s">
        <v>6243</v>
      </c>
      <c r="T1270" s="1">
        <v>14917</v>
      </c>
      <c r="U1270" s="1">
        <v>204</v>
      </c>
      <c r="V1270" s="1">
        <v>204</v>
      </c>
      <c r="AH1270" s="1">
        <v>14713</v>
      </c>
      <c r="AI1270" s="1">
        <v>14713</v>
      </c>
    </row>
    <row r="1271" spans="1:45" x14ac:dyDescent="0.2">
      <c r="A1271" s="1" t="s">
        <v>289</v>
      </c>
      <c r="B1271" s="1">
        <v>20159242</v>
      </c>
      <c r="C1271" s="1" t="s">
        <v>7420</v>
      </c>
      <c r="E1271" s="21">
        <v>369</v>
      </c>
      <c r="G1271" s="1" t="s">
        <v>799</v>
      </c>
      <c r="H1271" s="1" t="s">
        <v>7052</v>
      </c>
      <c r="I1271" s="5">
        <v>40210</v>
      </c>
      <c r="J1271" s="18" t="s">
        <v>11</v>
      </c>
      <c r="K1271" s="1" t="s">
        <v>1169</v>
      </c>
      <c r="L1271" s="1" t="s">
        <v>1296</v>
      </c>
      <c r="M1271" s="5"/>
      <c r="N1271" s="5" t="s">
        <v>10</v>
      </c>
      <c r="O1271" s="5" t="s">
        <v>10</v>
      </c>
      <c r="P1271" s="1" t="s">
        <v>5642</v>
      </c>
      <c r="Q1271" s="1" t="s">
        <v>33</v>
      </c>
      <c r="R1271" s="2" t="s">
        <v>4255</v>
      </c>
      <c r="S1271" s="1" t="s">
        <v>6243</v>
      </c>
      <c r="T1271" s="1">
        <v>3901</v>
      </c>
      <c r="U1271" s="1">
        <v>3901</v>
      </c>
      <c r="V1271" s="1">
        <v>3901</v>
      </c>
    </row>
    <row r="1272" spans="1:45" x14ac:dyDescent="0.2">
      <c r="A1272" s="1" t="s">
        <v>1338</v>
      </c>
      <c r="B1272" s="1">
        <v>20161066</v>
      </c>
      <c r="C1272" s="1" t="s">
        <v>7420</v>
      </c>
      <c r="D1272" s="1">
        <v>1</v>
      </c>
      <c r="E1272" s="21">
        <v>0</v>
      </c>
      <c r="G1272" s="1" t="s">
        <v>2663</v>
      </c>
      <c r="H1272" s="1" t="s">
        <v>7224</v>
      </c>
      <c r="I1272" s="5">
        <v>39887</v>
      </c>
      <c r="J1272" s="18" t="s">
        <v>10</v>
      </c>
      <c r="K1272" s="1" t="s">
        <v>2862</v>
      </c>
      <c r="L1272" s="1" t="s">
        <v>2863</v>
      </c>
      <c r="N1272" s="5" t="s">
        <v>10</v>
      </c>
      <c r="O1272" s="5" t="s">
        <v>10</v>
      </c>
      <c r="P1272" s="1" t="s">
        <v>5156</v>
      </c>
      <c r="Q1272" s="1" t="s">
        <v>33</v>
      </c>
      <c r="R1272" s="2" t="s">
        <v>5855</v>
      </c>
      <c r="S1272" s="1" t="s">
        <v>6243</v>
      </c>
      <c r="T1272" s="1">
        <v>195</v>
      </c>
      <c r="U1272" s="1">
        <v>195</v>
      </c>
      <c r="V1272" s="1">
        <v>195</v>
      </c>
    </row>
    <row r="1273" spans="1:45" x14ac:dyDescent="0.2">
      <c r="A1273" s="1" t="s">
        <v>1319</v>
      </c>
      <c r="B1273" s="1">
        <v>20164292</v>
      </c>
      <c r="C1273" s="1" t="s">
        <v>7420</v>
      </c>
      <c r="E1273" s="21">
        <v>83</v>
      </c>
      <c r="G1273" s="1" t="s">
        <v>7020</v>
      </c>
      <c r="H1273" s="1" t="s">
        <v>7233</v>
      </c>
      <c r="I1273" s="5">
        <v>40226</v>
      </c>
      <c r="J1273" s="18" t="s">
        <v>11</v>
      </c>
      <c r="K1273" s="1" t="s">
        <v>1316</v>
      </c>
      <c r="L1273" s="1" t="s">
        <v>1317</v>
      </c>
      <c r="M1273" s="5"/>
      <c r="N1273" s="5" t="s">
        <v>11</v>
      </c>
      <c r="O1273" s="5" t="s">
        <v>11</v>
      </c>
      <c r="P1273" s="1" t="s">
        <v>5510</v>
      </c>
      <c r="Q1273" s="1" t="s">
        <v>1318</v>
      </c>
      <c r="R1273" s="2" t="s">
        <v>4724</v>
      </c>
      <c r="S1273" s="1" t="s">
        <v>6244</v>
      </c>
      <c r="T1273" s="1">
        <v>2193</v>
      </c>
      <c r="U1273" s="1">
        <v>1524</v>
      </c>
      <c r="V1273" s="1">
        <v>1524</v>
      </c>
      <c r="AH1273" s="1">
        <v>669</v>
      </c>
      <c r="AJ1273" s="1">
        <v>669</v>
      </c>
    </row>
    <row r="1274" spans="1:45" x14ac:dyDescent="0.2">
      <c r="A1274" s="1" t="s">
        <v>1338</v>
      </c>
      <c r="B1274" s="1">
        <v>20167575</v>
      </c>
      <c r="C1274" s="1" t="s">
        <v>7420</v>
      </c>
      <c r="E1274" s="21">
        <v>201</v>
      </c>
      <c r="G1274" s="1" t="s">
        <v>6911</v>
      </c>
      <c r="H1274" s="1" t="s">
        <v>7258</v>
      </c>
      <c r="I1274" s="5">
        <v>40231</v>
      </c>
      <c r="J1274" s="18" t="s">
        <v>11</v>
      </c>
      <c r="K1274" s="1" t="s">
        <v>103</v>
      </c>
      <c r="L1274" s="1" t="s">
        <v>1336</v>
      </c>
      <c r="M1274" s="5"/>
      <c r="N1274" s="5" t="s">
        <v>11</v>
      </c>
      <c r="O1274" s="5" t="s">
        <v>10</v>
      </c>
      <c r="P1274" s="1" t="s">
        <v>5073</v>
      </c>
      <c r="Q1274" s="1" t="s">
        <v>1337</v>
      </c>
      <c r="R1274" s="2" t="s">
        <v>4331</v>
      </c>
      <c r="S1274" s="1" t="s">
        <v>6243</v>
      </c>
      <c r="T1274" s="1">
        <v>2379</v>
      </c>
      <c r="U1274" s="1">
        <v>1504</v>
      </c>
      <c r="V1274" s="1">
        <v>1504</v>
      </c>
      <c r="AH1274" s="1">
        <v>875</v>
      </c>
      <c r="AI1274" s="1">
        <v>875</v>
      </c>
    </row>
    <row r="1275" spans="1:45" x14ac:dyDescent="0.2">
      <c r="A1275" s="1" t="s">
        <v>1324</v>
      </c>
      <c r="B1275" s="1">
        <v>20167578</v>
      </c>
      <c r="C1275" s="1" t="s">
        <v>7420</v>
      </c>
      <c r="E1275" s="21">
        <v>12</v>
      </c>
      <c r="G1275" s="1" t="s">
        <v>6957</v>
      </c>
      <c r="H1275" s="1" t="s">
        <v>7218</v>
      </c>
      <c r="I1275" s="5">
        <v>40227</v>
      </c>
      <c r="J1275" s="18" t="s">
        <v>11</v>
      </c>
      <c r="K1275" s="1" t="s">
        <v>103</v>
      </c>
      <c r="L1275" s="1" t="s">
        <v>1323</v>
      </c>
      <c r="M1275" s="5"/>
      <c r="N1275" s="5" t="s">
        <v>10</v>
      </c>
      <c r="O1275" s="5" t="s">
        <v>10</v>
      </c>
      <c r="P1275" s="1" t="s">
        <v>5589</v>
      </c>
      <c r="Q1275" s="1" t="s">
        <v>33</v>
      </c>
      <c r="R1275" s="2" t="s">
        <v>868</v>
      </c>
      <c r="S1275" s="1" t="s">
        <v>6243</v>
      </c>
      <c r="T1275" s="1">
        <v>9813</v>
      </c>
      <c r="U1275" s="1">
        <v>9813</v>
      </c>
      <c r="V1275" s="1">
        <v>9813</v>
      </c>
    </row>
    <row r="1276" spans="1:45" x14ac:dyDescent="0.2">
      <c r="A1276" s="1" t="s">
        <v>227</v>
      </c>
      <c r="B1276" s="1">
        <v>20169177</v>
      </c>
      <c r="C1276" s="1" t="s">
        <v>7420</v>
      </c>
      <c r="E1276" s="21">
        <v>41</v>
      </c>
      <c r="G1276" s="1" t="s">
        <v>218</v>
      </c>
      <c r="H1276" s="1" t="s">
        <v>7376</v>
      </c>
      <c r="I1276" s="5">
        <v>40221</v>
      </c>
      <c r="J1276" s="18" t="s">
        <v>11</v>
      </c>
      <c r="K1276" s="1" t="s">
        <v>65</v>
      </c>
      <c r="L1276" s="1" t="s">
        <v>1311</v>
      </c>
      <c r="M1276" s="5"/>
      <c r="N1276" s="5" t="s">
        <v>10</v>
      </c>
      <c r="O1276" s="5" t="s">
        <v>10</v>
      </c>
      <c r="P1276" s="1" t="s">
        <v>4058</v>
      </c>
      <c r="Q1276" s="1" t="s">
        <v>4228</v>
      </c>
      <c r="R1276" s="2" t="s">
        <v>4457</v>
      </c>
      <c r="S1276" s="1" t="s">
        <v>6242</v>
      </c>
      <c r="T1276" s="1">
        <v>7432</v>
      </c>
      <c r="U1276" s="1">
        <v>1814</v>
      </c>
      <c r="X1276" s="1">
        <v>1814</v>
      </c>
      <c r="AH1276" s="1">
        <v>5618</v>
      </c>
      <c r="AK1276" s="1">
        <v>5618</v>
      </c>
    </row>
    <row r="1277" spans="1:45" x14ac:dyDescent="0.2">
      <c r="A1277" s="1" t="s">
        <v>3075</v>
      </c>
      <c r="B1277" s="1">
        <v>20170901</v>
      </c>
      <c r="C1277" s="1" t="s">
        <v>7420</v>
      </c>
      <c r="E1277" s="21">
        <v>43</v>
      </c>
      <c r="F1277" s="17">
        <v>1</v>
      </c>
      <c r="G1277" s="1" t="s">
        <v>6828</v>
      </c>
      <c r="H1277" s="1" t="s">
        <v>7355</v>
      </c>
      <c r="I1277" s="5">
        <v>40227</v>
      </c>
      <c r="J1277" s="18" t="s">
        <v>10</v>
      </c>
      <c r="K1277" s="15" t="s">
        <v>16</v>
      </c>
      <c r="L1277" s="15" t="s">
        <v>6489</v>
      </c>
      <c r="N1277" s="5" t="s">
        <v>10</v>
      </c>
      <c r="O1277" s="5" t="s">
        <v>10</v>
      </c>
      <c r="P1277" s="1" t="s">
        <v>3446</v>
      </c>
      <c r="Q1277" s="1" t="s">
        <v>33</v>
      </c>
      <c r="R1277" s="10" t="s">
        <v>5922</v>
      </c>
      <c r="S1277" s="1" t="s">
        <v>6248</v>
      </c>
      <c r="T1277" s="1">
        <v>96</v>
      </c>
      <c r="U1277" s="1">
        <v>96</v>
      </c>
      <c r="AE1277" s="1">
        <v>96</v>
      </c>
    </row>
    <row r="1278" spans="1:45" x14ac:dyDescent="0.2">
      <c r="A1278" s="1" t="s">
        <v>1321</v>
      </c>
      <c r="B1278" s="1">
        <v>20171287</v>
      </c>
      <c r="C1278" s="1" t="s">
        <v>7420</v>
      </c>
      <c r="E1278" s="21">
        <v>20</v>
      </c>
      <c r="G1278" s="1" t="s">
        <v>1322</v>
      </c>
      <c r="H1278" s="1" t="s">
        <v>7237</v>
      </c>
      <c r="I1278" s="5">
        <v>40226</v>
      </c>
      <c r="J1278" s="18" t="s">
        <v>11</v>
      </c>
      <c r="K1278" s="1" t="s">
        <v>1288</v>
      </c>
      <c r="L1278" s="1" t="s">
        <v>1320</v>
      </c>
      <c r="M1278" s="5"/>
      <c r="N1278" s="5" t="s">
        <v>10</v>
      </c>
      <c r="O1278" s="5" t="s">
        <v>10</v>
      </c>
      <c r="P1278" s="1" t="s">
        <v>6231</v>
      </c>
      <c r="Q1278" s="1" t="s">
        <v>33</v>
      </c>
      <c r="R1278" s="2" t="s">
        <v>4845</v>
      </c>
      <c r="S1278" s="1" t="s">
        <v>6243</v>
      </c>
      <c r="T1278" s="1">
        <v>740</v>
      </c>
      <c r="U1278" s="1">
        <v>740</v>
      </c>
      <c r="V1278" s="1">
        <v>740</v>
      </c>
    </row>
    <row r="1279" spans="1:45" x14ac:dyDescent="0.2">
      <c r="A1279" s="1" t="s">
        <v>1326</v>
      </c>
      <c r="B1279" s="1">
        <v>20172861</v>
      </c>
      <c r="C1279" s="1" t="s">
        <v>7420</v>
      </c>
      <c r="E1279" s="21">
        <v>6</v>
      </c>
      <c r="G1279" s="1" t="s">
        <v>7104</v>
      </c>
      <c r="H1279" s="1" t="s">
        <v>7216</v>
      </c>
      <c r="I1279" s="5">
        <v>40227</v>
      </c>
      <c r="J1279" s="18" t="s">
        <v>11</v>
      </c>
      <c r="K1279" s="1" t="s">
        <v>103</v>
      </c>
      <c r="L1279" s="1" t="s">
        <v>1325</v>
      </c>
      <c r="M1279" s="5"/>
      <c r="N1279" s="5" t="s">
        <v>10</v>
      </c>
      <c r="O1279" s="5" t="s">
        <v>10</v>
      </c>
      <c r="P1279" s="1" t="s">
        <v>4588</v>
      </c>
      <c r="Q1279" s="1" t="s">
        <v>4083</v>
      </c>
      <c r="R1279" s="2" t="s">
        <v>4679</v>
      </c>
      <c r="S1279" s="1" t="s">
        <v>6242</v>
      </c>
      <c r="T1279" s="1">
        <v>7665</v>
      </c>
      <c r="U1279" s="1">
        <v>5771</v>
      </c>
      <c r="X1279" s="1">
        <v>5771</v>
      </c>
      <c r="AH1279" s="1">
        <v>1894</v>
      </c>
      <c r="AK1279" s="1">
        <v>1894</v>
      </c>
    </row>
    <row r="1280" spans="1:45" x14ac:dyDescent="0.2">
      <c r="A1280" s="1" t="s">
        <v>1331</v>
      </c>
      <c r="B1280" s="1">
        <v>20173747</v>
      </c>
      <c r="C1280" s="1" t="s">
        <v>7420</v>
      </c>
      <c r="E1280" s="21">
        <v>4</v>
      </c>
      <c r="G1280" s="1" t="s">
        <v>991</v>
      </c>
      <c r="H1280" s="1" t="s">
        <v>7167</v>
      </c>
      <c r="I1280" s="5">
        <v>40230</v>
      </c>
      <c r="J1280" s="18" t="s">
        <v>11</v>
      </c>
      <c r="K1280" s="1" t="s">
        <v>28</v>
      </c>
      <c r="L1280" s="1" t="s">
        <v>1330</v>
      </c>
      <c r="M1280" s="5"/>
      <c r="N1280" s="5" t="s">
        <v>10</v>
      </c>
      <c r="O1280" s="5" t="s">
        <v>10</v>
      </c>
      <c r="P1280" s="1" t="s">
        <v>5505</v>
      </c>
      <c r="Q1280" s="1" t="s">
        <v>5506</v>
      </c>
      <c r="R1280" s="2" t="s">
        <v>868</v>
      </c>
      <c r="S1280" s="1" t="s">
        <v>6243</v>
      </c>
      <c r="T1280" s="1">
        <v>18950</v>
      </c>
      <c r="U1280" s="1">
        <v>14179</v>
      </c>
      <c r="V1280" s="1">
        <v>14179</v>
      </c>
      <c r="AH1280" s="1">
        <v>4771</v>
      </c>
      <c r="AI1280" s="1">
        <v>4771</v>
      </c>
    </row>
    <row r="1281" spans="1:44" x14ac:dyDescent="0.2">
      <c r="A1281" s="1" t="s">
        <v>1333</v>
      </c>
      <c r="B1281" s="1">
        <v>20173748</v>
      </c>
      <c r="C1281" s="1" t="s">
        <v>7420</v>
      </c>
      <c r="E1281" s="21">
        <v>11</v>
      </c>
      <c r="G1281" s="1" t="s">
        <v>6738</v>
      </c>
      <c r="H1281" s="1" t="s">
        <v>7153</v>
      </c>
      <c r="I1281" s="5">
        <v>40230</v>
      </c>
      <c r="J1281" s="18" t="s">
        <v>11</v>
      </c>
      <c r="K1281" s="1" t="s">
        <v>28</v>
      </c>
      <c r="L1281" s="1" t="s">
        <v>1332</v>
      </c>
      <c r="M1281" s="5"/>
      <c r="N1281" s="5" t="s">
        <v>10</v>
      </c>
      <c r="O1281" s="5" t="s">
        <v>10</v>
      </c>
      <c r="P1281" s="1" t="s">
        <v>5634</v>
      </c>
      <c r="Q1281" s="1" t="s">
        <v>5604</v>
      </c>
      <c r="R1281" s="2" t="s">
        <v>4907</v>
      </c>
      <c r="S1281" s="1" t="s">
        <v>6243</v>
      </c>
      <c r="T1281" s="1">
        <v>9124</v>
      </c>
      <c r="U1281" s="1">
        <v>4320</v>
      </c>
      <c r="V1281" s="1">
        <v>4320</v>
      </c>
      <c r="AH1281" s="1">
        <v>4804</v>
      </c>
      <c r="AI1281" s="1">
        <v>4804</v>
      </c>
    </row>
    <row r="1282" spans="1:44" x14ac:dyDescent="0.2">
      <c r="A1282" s="1" t="s">
        <v>1329</v>
      </c>
      <c r="B1282" s="1">
        <v>20174558</v>
      </c>
      <c r="C1282" s="1" t="s">
        <v>7420</v>
      </c>
      <c r="E1282" s="21">
        <v>29</v>
      </c>
      <c r="G1282" s="1" t="s">
        <v>61</v>
      </c>
      <c r="H1282" s="1" t="s">
        <v>7396</v>
      </c>
      <c r="I1282" s="5">
        <v>40228</v>
      </c>
      <c r="J1282" s="18" t="s">
        <v>11</v>
      </c>
      <c r="K1282" s="1" t="s">
        <v>65</v>
      </c>
      <c r="L1282" s="1" t="s">
        <v>1327</v>
      </c>
      <c r="M1282" s="5"/>
      <c r="N1282" s="5" t="s">
        <v>10</v>
      </c>
      <c r="O1282" s="5" t="s">
        <v>10</v>
      </c>
      <c r="P1282" s="1" t="s">
        <v>1328</v>
      </c>
      <c r="Q1282" s="1" t="s">
        <v>4125</v>
      </c>
      <c r="R1282" s="2" t="s">
        <v>4694</v>
      </c>
      <c r="S1282" s="1" t="s">
        <v>6242</v>
      </c>
      <c r="T1282" s="1">
        <v>5165</v>
      </c>
      <c r="U1282" s="1">
        <v>1889</v>
      </c>
      <c r="X1282" s="1">
        <v>1889</v>
      </c>
      <c r="AH1282" s="1">
        <v>3276</v>
      </c>
      <c r="AK1282" s="1">
        <v>3276</v>
      </c>
    </row>
    <row r="1283" spans="1:44" x14ac:dyDescent="0.2">
      <c r="A1283" s="1" t="s">
        <v>1211</v>
      </c>
      <c r="B1283" s="1">
        <v>20175129</v>
      </c>
      <c r="C1283" s="1" t="s">
        <v>7420</v>
      </c>
      <c r="E1283" s="21">
        <v>24</v>
      </c>
      <c r="G1283" s="1" t="s">
        <v>6819</v>
      </c>
      <c r="H1283" s="1" t="s">
        <v>7231</v>
      </c>
      <c r="I1283" s="5">
        <v>40158</v>
      </c>
      <c r="J1283" s="18" t="s">
        <v>11</v>
      </c>
      <c r="K1283" s="1" t="s">
        <v>1145</v>
      </c>
      <c r="L1283" s="1" t="s">
        <v>1210</v>
      </c>
      <c r="M1283" s="5"/>
      <c r="N1283" s="5" t="s">
        <v>10</v>
      </c>
      <c r="O1283" s="5" t="s">
        <v>10</v>
      </c>
      <c r="P1283" s="1" t="s">
        <v>6135</v>
      </c>
      <c r="Q1283" s="1" t="s">
        <v>6136</v>
      </c>
      <c r="R1283" s="2" t="s">
        <v>4865</v>
      </c>
      <c r="S1283" s="1" t="s">
        <v>6244</v>
      </c>
      <c r="T1283" s="1">
        <v>4593</v>
      </c>
      <c r="U1283" s="1">
        <v>987</v>
      </c>
      <c r="V1283" s="1">
        <v>987</v>
      </c>
      <c r="AH1283" s="1">
        <v>3606</v>
      </c>
      <c r="AI1283" s="1">
        <v>1488</v>
      </c>
      <c r="AK1283" s="1">
        <v>2118</v>
      </c>
    </row>
    <row r="1284" spans="1:44" x14ac:dyDescent="0.2">
      <c r="A1284" s="1" t="s">
        <v>1187</v>
      </c>
      <c r="B1284" s="1">
        <v>20183929</v>
      </c>
      <c r="C1284" s="1" t="s">
        <v>7420</v>
      </c>
      <c r="E1284" s="21">
        <v>81</v>
      </c>
      <c r="G1284" s="1" t="s">
        <v>2697</v>
      </c>
      <c r="H1284" s="1" t="s">
        <v>1188</v>
      </c>
      <c r="I1284" s="5">
        <v>40136</v>
      </c>
      <c r="J1284" s="18" t="s">
        <v>11</v>
      </c>
      <c r="K1284" s="1" t="s">
        <v>595</v>
      </c>
      <c r="L1284" s="1" t="s">
        <v>2701</v>
      </c>
      <c r="N1284" s="5" t="s">
        <v>10</v>
      </c>
      <c r="O1284" s="5" t="s">
        <v>10</v>
      </c>
      <c r="P1284" s="1" t="s">
        <v>2699</v>
      </c>
      <c r="Q1284" s="1" t="s">
        <v>2700</v>
      </c>
      <c r="R1284" s="2" t="s">
        <v>4830</v>
      </c>
      <c r="S1284" s="1" t="s">
        <v>6242</v>
      </c>
      <c r="T1284" s="1">
        <v>792</v>
      </c>
      <c r="U1284" s="1">
        <v>618</v>
      </c>
      <c r="X1284" s="1">
        <v>618</v>
      </c>
      <c r="AH1284" s="1">
        <v>174</v>
      </c>
      <c r="AK1284" s="1">
        <v>174</v>
      </c>
    </row>
    <row r="1285" spans="1:44" x14ac:dyDescent="0.2">
      <c r="A1285" s="1" t="s">
        <v>1341</v>
      </c>
      <c r="B1285" s="1">
        <v>20185149</v>
      </c>
      <c r="C1285" s="1" t="s">
        <v>7420</v>
      </c>
      <c r="E1285" s="21">
        <v>635</v>
      </c>
      <c r="G1285" s="1" t="s">
        <v>74</v>
      </c>
      <c r="H1285" s="1" t="s">
        <v>2545</v>
      </c>
      <c r="I1285" s="5">
        <v>40232</v>
      </c>
      <c r="J1285" s="18" t="s">
        <v>11</v>
      </c>
      <c r="K1285" s="1" t="s">
        <v>1339</v>
      </c>
      <c r="L1285" s="1" t="s">
        <v>1340</v>
      </c>
      <c r="M1285" s="5"/>
      <c r="N1285" s="5" t="s">
        <v>10</v>
      </c>
      <c r="O1285" s="5" t="s">
        <v>10</v>
      </c>
      <c r="P1285" s="1" t="s">
        <v>6154</v>
      </c>
      <c r="Q1285" s="1" t="s">
        <v>4362</v>
      </c>
      <c r="R1285" s="2" t="s">
        <v>4217</v>
      </c>
      <c r="S1285" s="1" t="s">
        <v>6243</v>
      </c>
      <c r="T1285" s="1">
        <v>16949</v>
      </c>
      <c r="U1285" s="1">
        <v>506</v>
      </c>
      <c r="V1285" s="1">
        <v>506</v>
      </c>
      <c r="AH1285" s="1">
        <v>16443</v>
      </c>
      <c r="AI1285" s="1">
        <v>16443</v>
      </c>
    </row>
    <row r="1286" spans="1:44" x14ac:dyDescent="0.2">
      <c r="A1286" s="1" t="s">
        <v>1127</v>
      </c>
      <c r="B1286" s="1">
        <v>20189245</v>
      </c>
      <c r="C1286" s="1" t="s">
        <v>7420</v>
      </c>
      <c r="E1286" s="21">
        <v>19398</v>
      </c>
      <c r="G1286" s="1" t="s">
        <v>6787</v>
      </c>
      <c r="H1286" s="1" t="s">
        <v>6671</v>
      </c>
      <c r="I1286" s="5">
        <v>40234</v>
      </c>
      <c r="J1286" s="18" t="s">
        <v>11</v>
      </c>
      <c r="K1286" s="1" t="s">
        <v>1342</v>
      </c>
      <c r="L1286" s="1" t="s">
        <v>1343</v>
      </c>
      <c r="M1286" s="5"/>
      <c r="N1286" s="5" t="s">
        <v>10</v>
      </c>
      <c r="O1286" s="5" t="s">
        <v>10</v>
      </c>
      <c r="P1286" s="1" t="s">
        <v>1344</v>
      </c>
      <c r="Q1286" s="1" t="s">
        <v>33</v>
      </c>
      <c r="R1286" s="2" t="s">
        <v>4077</v>
      </c>
      <c r="S1286" s="1" t="s">
        <v>6242</v>
      </c>
      <c r="T1286" s="1">
        <v>93</v>
      </c>
      <c r="U1286" s="1">
        <v>93</v>
      </c>
      <c r="X1286" s="1">
        <v>93</v>
      </c>
    </row>
    <row r="1287" spans="1:44" x14ac:dyDescent="0.2">
      <c r="A1287" s="1" t="s">
        <v>1326</v>
      </c>
      <c r="B1287" s="1">
        <v>20189936</v>
      </c>
      <c r="C1287" s="1" t="s">
        <v>7420</v>
      </c>
      <c r="E1287" s="21">
        <v>55</v>
      </c>
      <c r="G1287" s="1" t="s">
        <v>197</v>
      </c>
      <c r="H1287" s="1" t="s">
        <v>7270</v>
      </c>
      <c r="I1287" s="5">
        <v>40235</v>
      </c>
      <c r="J1287" s="18" t="s">
        <v>11</v>
      </c>
      <c r="K1287" s="1" t="s">
        <v>103</v>
      </c>
      <c r="L1287" s="1" t="s">
        <v>1345</v>
      </c>
      <c r="M1287" s="5"/>
      <c r="N1287" s="5" t="s">
        <v>10</v>
      </c>
      <c r="O1287" s="5" t="s">
        <v>10</v>
      </c>
      <c r="P1287" s="1" t="s">
        <v>4903</v>
      </c>
      <c r="Q1287" s="1" t="s">
        <v>33</v>
      </c>
      <c r="R1287" s="2" t="s">
        <v>4994</v>
      </c>
      <c r="S1287" s="1" t="s">
        <v>6242</v>
      </c>
      <c r="T1287" s="1">
        <v>19633</v>
      </c>
      <c r="U1287" s="1">
        <v>19633</v>
      </c>
      <c r="X1287" s="1">
        <v>19633</v>
      </c>
    </row>
    <row r="1288" spans="1:44" x14ac:dyDescent="0.2">
      <c r="A1288" s="1" t="s">
        <v>1349</v>
      </c>
      <c r="B1288" s="1">
        <v>20190752</v>
      </c>
      <c r="C1288" s="1" t="s">
        <v>7420</v>
      </c>
      <c r="E1288" s="21">
        <v>1030</v>
      </c>
      <c r="G1288" s="1" t="s">
        <v>133</v>
      </c>
      <c r="H1288" s="1" t="s">
        <v>134</v>
      </c>
      <c r="I1288" s="5">
        <v>40237</v>
      </c>
      <c r="J1288" s="18" t="s">
        <v>11</v>
      </c>
      <c r="K1288" s="1" t="s">
        <v>28</v>
      </c>
      <c r="L1288" s="1" t="s">
        <v>1348</v>
      </c>
      <c r="M1288" s="5"/>
      <c r="N1288" s="5" t="s">
        <v>10</v>
      </c>
      <c r="O1288" s="5" t="s">
        <v>10</v>
      </c>
      <c r="P1288" s="1" t="s">
        <v>5553</v>
      </c>
      <c r="Q1288" s="1" t="s">
        <v>5554</v>
      </c>
      <c r="R1288" s="2" t="s">
        <v>4240</v>
      </c>
      <c r="S1288" s="1" t="s">
        <v>6243</v>
      </c>
      <c r="T1288" s="1">
        <v>25885</v>
      </c>
      <c r="U1288" s="1">
        <v>15283</v>
      </c>
      <c r="V1288" s="1">
        <v>15283</v>
      </c>
      <c r="AH1288" s="1">
        <v>10602</v>
      </c>
      <c r="AI1288" s="1">
        <v>10602</v>
      </c>
    </row>
    <row r="1289" spans="1:44" x14ac:dyDescent="0.2">
      <c r="A1289" s="1" t="s">
        <v>1355</v>
      </c>
      <c r="B1289" s="1">
        <v>20195266</v>
      </c>
      <c r="C1289" s="1" t="s">
        <v>7420</v>
      </c>
      <c r="E1289" s="21">
        <v>254</v>
      </c>
      <c r="G1289" s="1" t="s">
        <v>1356</v>
      </c>
      <c r="H1289" s="1" t="s">
        <v>7155</v>
      </c>
      <c r="I1289" s="5">
        <v>40239</v>
      </c>
      <c r="J1289" s="18" t="s">
        <v>11</v>
      </c>
      <c r="K1289" s="1" t="s">
        <v>71</v>
      </c>
      <c r="L1289" s="1" t="s">
        <v>1354</v>
      </c>
      <c r="M1289" s="5"/>
      <c r="N1289" s="5" t="s">
        <v>10</v>
      </c>
      <c r="O1289" s="5" t="s">
        <v>10</v>
      </c>
      <c r="P1289" s="1" t="s">
        <v>6399</v>
      </c>
      <c r="Q1289" s="1" t="s">
        <v>33</v>
      </c>
      <c r="R1289" s="2" t="s">
        <v>4158</v>
      </c>
      <c r="S1289" s="1" t="s">
        <v>6244</v>
      </c>
      <c r="T1289" s="1">
        <v>738</v>
      </c>
      <c r="U1289" s="1">
        <v>738</v>
      </c>
      <c r="AD1289" s="1">
        <v>738</v>
      </c>
    </row>
    <row r="1290" spans="1:44" x14ac:dyDescent="0.2">
      <c r="A1290" s="1" t="s">
        <v>3038</v>
      </c>
      <c r="B1290" s="1">
        <v>20195503</v>
      </c>
      <c r="C1290" s="1" t="s">
        <v>7420</v>
      </c>
      <c r="E1290" s="21">
        <v>192</v>
      </c>
      <c r="F1290" s="17">
        <v>1</v>
      </c>
      <c r="G1290" s="1" t="s">
        <v>3039</v>
      </c>
      <c r="H1290" s="1" t="s">
        <v>7352</v>
      </c>
      <c r="I1290" s="5">
        <v>40235</v>
      </c>
      <c r="J1290" s="18" t="s">
        <v>10</v>
      </c>
      <c r="K1290" s="15" t="s">
        <v>6567</v>
      </c>
      <c r="L1290" s="15" t="s">
        <v>6488</v>
      </c>
      <c r="N1290" s="5" t="s">
        <v>10</v>
      </c>
      <c r="O1290" s="5" t="s">
        <v>10</v>
      </c>
      <c r="P1290" s="1" t="s">
        <v>6212</v>
      </c>
      <c r="Q1290" s="1" t="s">
        <v>33</v>
      </c>
      <c r="R1290" s="2" t="s">
        <v>4523</v>
      </c>
      <c r="S1290" s="1" t="s">
        <v>6243</v>
      </c>
      <c r="T1290" s="1">
        <v>153</v>
      </c>
      <c r="U1290" s="1">
        <v>153</v>
      </c>
      <c r="V1290" s="1">
        <v>153</v>
      </c>
    </row>
    <row r="1291" spans="1:44" x14ac:dyDescent="0.2">
      <c r="A1291" s="1" t="s">
        <v>1347</v>
      </c>
      <c r="B1291" s="1">
        <v>20195514</v>
      </c>
      <c r="C1291" s="1" t="s">
        <v>7420</v>
      </c>
      <c r="E1291" s="21">
        <v>21</v>
      </c>
      <c r="G1291" s="1" t="s">
        <v>2573</v>
      </c>
      <c r="H1291" s="1" t="s">
        <v>6915</v>
      </c>
      <c r="I1291" s="5">
        <v>40235</v>
      </c>
      <c r="J1291" s="18" t="s">
        <v>11</v>
      </c>
      <c r="K1291" s="1" t="s">
        <v>65</v>
      </c>
      <c r="L1291" s="1" t="s">
        <v>1346</v>
      </c>
      <c r="M1291" s="5"/>
      <c r="N1291" s="5" t="s">
        <v>10</v>
      </c>
      <c r="O1291" s="5" t="s">
        <v>10</v>
      </c>
      <c r="P1291" s="1" t="s">
        <v>5564</v>
      </c>
      <c r="Q1291" s="1" t="s">
        <v>33</v>
      </c>
      <c r="R1291" s="2" t="s">
        <v>5021</v>
      </c>
      <c r="S1291" s="1" t="s">
        <v>6243</v>
      </c>
      <c r="T1291" s="1">
        <v>5752</v>
      </c>
      <c r="U1291" s="1">
        <v>5752</v>
      </c>
      <c r="V1291" s="1">
        <v>5752</v>
      </c>
    </row>
    <row r="1292" spans="1:44" x14ac:dyDescent="0.2">
      <c r="A1292" s="1" t="s">
        <v>1321</v>
      </c>
      <c r="B1292" s="1">
        <v>20197096</v>
      </c>
      <c r="C1292" s="1" t="s">
        <v>7420</v>
      </c>
      <c r="E1292" s="21">
        <v>14</v>
      </c>
      <c r="G1292" s="1" t="s">
        <v>1745</v>
      </c>
      <c r="H1292" s="1" t="s">
        <v>7210</v>
      </c>
      <c r="I1292" s="5">
        <v>40238</v>
      </c>
      <c r="J1292" s="18" t="s">
        <v>10</v>
      </c>
      <c r="K1292" s="1" t="s">
        <v>1288</v>
      </c>
      <c r="L1292" s="1" t="s">
        <v>2864</v>
      </c>
      <c r="M1292" s="5"/>
      <c r="N1292" s="5" t="s">
        <v>10</v>
      </c>
      <c r="O1292" s="5" t="s">
        <v>10</v>
      </c>
      <c r="P1292" s="1" t="s">
        <v>5381</v>
      </c>
      <c r="Q1292" s="1" t="s">
        <v>33</v>
      </c>
      <c r="R1292" s="2" t="s">
        <v>5805</v>
      </c>
      <c r="S1292" s="1" t="s">
        <v>6243</v>
      </c>
      <c r="T1292" s="1">
        <v>745</v>
      </c>
      <c r="U1292" s="1">
        <v>745</v>
      </c>
      <c r="V1292" s="1">
        <v>745</v>
      </c>
    </row>
    <row r="1293" spans="1:44" x14ac:dyDescent="0.2">
      <c r="A1293" s="1" t="s">
        <v>1295</v>
      </c>
      <c r="B1293" s="1">
        <v>20200953</v>
      </c>
      <c r="C1293" s="1" t="s">
        <v>7420</v>
      </c>
      <c r="E1293" s="21">
        <v>76</v>
      </c>
      <c r="G1293" s="1" t="s">
        <v>413</v>
      </c>
      <c r="H1293" s="1" t="s">
        <v>7233</v>
      </c>
      <c r="I1293" s="5">
        <v>40207</v>
      </c>
      <c r="J1293" s="18" t="s">
        <v>11</v>
      </c>
      <c r="K1293" s="1" t="s">
        <v>1145</v>
      </c>
      <c r="L1293" s="1" t="s">
        <v>1294</v>
      </c>
      <c r="M1293" s="5"/>
      <c r="N1293" s="5" t="s">
        <v>11</v>
      </c>
      <c r="O1293" s="5" t="s">
        <v>11</v>
      </c>
      <c r="P1293" s="1" t="s">
        <v>3863</v>
      </c>
      <c r="Q1293" s="1" t="s">
        <v>33</v>
      </c>
      <c r="R1293" s="2" t="s">
        <v>4302</v>
      </c>
      <c r="S1293" s="1" t="s">
        <v>6243</v>
      </c>
      <c r="T1293" s="1">
        <v>2073</v>
      </c>
      <c r="U1293" s="1">
        <v>2073</v>
      </c>
      <c r="V1293" s="1">
        <v>2073</v>
      </c>
    </row>
    <row r="1294" spans="1:44" x14ac:dyDescent="0.2">
      <c r="A1294" s="1" t="s">
        <v>1352</v>
      </c>
      <c r="B1294" s="1">
        <v>20201924</v>
      </c>
      <c r="C1294" s="1" t="s">
        <v>7420</v>
      </c>
      <c r="E1294" s="21">
        <v>2770</v>
      </c>
      <c r="G1294" s="1" t="s">
        <v>968</v>
      </c>
      <c r="H1294" s="1" t="s">
        <v>7207</v>
      </c>
      <c r="I1294" s="5">
        <v>40238</v>
      </c>
      <c r="J1294" s="18" t="s">
        <v>11</v>
      </c>
      <c r="K1294" s="1" t="s">
        <v>1350</v>
      </c>
      <c r="L1294" s="1" t="s">
        <v>1351</v>
      </c>
      <c r="M1294" s="5"/>
      <c r="N1294" s="5" t="s">
        <v>10</v>
      </c>
      <c r="O1294" s="5" t="s">
        <v>10</v>
      </c>
      <c r="P1294" s="1" t="s">
        <v>5577</v>
      </c>
      <c r="Q1294" s="1" t="s">
        <v>3884</v>
      </c>
      <c r="R1294" s="2" t="s">
        <v>4113</v>
      </c>
      <c r="S1294" s="1" t="s">
        <v>6244</v>
      </c>
      <c r="T1294" s="1">
        <v>2146</v>
      </c>
      <c r="U1294" s="1">
        <v>1884</v>
      </c>
      <c r="V1294" s="1">
        <v>1399</v>
      </c>
      <c r="W1294" s="1">
        <v>485</v>
      </c>
      <c r="AH1294" s="1">
        <v>262</v>
      </c>
      <c r="AR1294" s="1">
        <v>262</v>
      </c>
    </row>
    <row r="1295" spans="1:44" x14ac:dyDescent="0.2">
      <c r="A1295" s="1" t="s">
        <v>306</v>
      </c>
      <c r="B1295" s="1">
        <v>20202923</v>
      </c>
      <c r="C1295" s="1" t="s">
        <v>7420</v>
      </c>
      <c r="E1295" s="21">
        <v>80</v>
      </c>
      <c r="G1295" s="1" t="s">
        <v>968</v>
      </c>
      <c r="H1295" s="1" t="s">
        <v>7207</v>
      </c>
      <c r="I1295" s="5">
        <v>40239</v>
      </c>
      <c r="J1295" s="18" t="s">
        <v>11</v>
      </c>
      <c r="K1295" s="1" t="s">
        <v>210</v>
      </c>
      <c r="L1295" s="1" t="s">
        <v>1353</v>
      </c>
      <c r="M1295" s="5"/>
      <c r="N1295" s="5" t="s">
        <v>10</v>
      </c>
      <c r="O1295" s="5" t="s">
        <v>10</v>
      </c>
      <c r="P1295" s="1" t="s">
        <v>3978</v>
      </c>
      <c r="Q1295" s="1" t="s">
        <v>3979</v>
      </c>
      <c r="R1295" s="2" t="s">
        <v>4802</v>
      </c>
      <c r="S1295" s="1" t="s">
        <v>6244</v>
      </c>
      <c r="T1295" s="1">
        <v>7234</v>
      </c>
      <c r="U1295" s="1">
        <v>3829</v>
      </c>
      <c r="V1295" s="1">
        <v>2668</v>
      </c>
      <c r="W1295" s="1">
        <v>1161</v>
      </c>
      <c r="AH1295" s="1">
        <v>3405</v>
      </c>
      <c r="AI1295" s="1">
        <v>2869</v>
      </c>
      <c r="AJ1295" s="1">
        <v>536</v>
      </c>
    </row>
    <row r="1296" spans="1:44" x14ac:dyDescent="0.2">
      <c r="A1296" s="1" t="s">
        <v>1438</v>
      </c>
      <c r="B1296" s="1">
        <v>20205591</v>
      </c>
      <c r="C1296" s="1" t="s">
        <v>7420</v>
      </c>
      <c r="E1296" s="21">
        <v>42</v>
      </c>
      <c r="G1296" s="1" t="s">
        <v>6847</v>
      </c>
      <c r="H1296" s="1" t="s">
        <v>7172</v>
      </c>
      <c r="I1296" s="5">
        <v>40283</v>
      </c>
      <c r="J1296" s="18" t="s">
        <v>11</v>
      </c>
      <c r="K1296" s="1" t="s">
        <v>657</v>
      </c>
      <c r="L1296" s="1" t="s">
        <v>1436</v>
      </c>
      <c r="M1296" s="5"/>
      <c r="N1296" s="5" t="s">
        <v>10</v>
      </c>
      <c r="O1296" s="5" t="s">
        <v>10</v>
      </c>
      <c r="P1296" s="1" t="s">
        <v>1437</v>
      </c>
      <c r="Q1296" s="1" t="s">
        <v>33</v>
      </c>
      <c r="R1296" s="2" t="s">
        <v>4245</v>
      </c>
      <c r="S1296" s="1" t="s">
        <v>6440</v>
      </c>
      <c r="T1296" s="1">
        <v>515</v>
      </c>
      <c r="U1296" s="1">
        <v>515</v>
      </c>
      <c r="W1296" s="1">
        <v>515</v>
      </c>
    </row>
    <row r="1297" spans="1:44" x14ac:dyDescent="0.2">
      <c r="A1297" s="1" t="s">
        <v>1358</v>
      </c>
      <c r="B1297" s="1">
        <v>20208534</v>
      </c>
      <c r="C1297" s="1" t="s">
        <v>7420</v>
      </c>
      <c r="E1297" s="21">
        <v>26</v>
      </c>
      <c r="G1297" s="1" t="s">
        <v>1359</v>
      </c>
      <c r="H1297" s="1" t="s">
        <v>1360</v>
      </c>
      <c r="I1297" s="5">
        <v>40244</v>
      </c>
      <c r="J1297" s="18" t="s">
        <v>11</v>
      </c>
      <c r="K1297" s="1" t="s">
        <v>28</v>
      </c>
      <c r="L1297" s="1" t="s">
        <v>1357</v>
      </c>
      <c r="M1297" s="5"/>
      <c r="N1297" s="5" t="s">
        <v>10</v>
      </c>
      <c r="O1297" s="5" t="s">
        <v>10</v>
      </c>
      <c r="P1297" s="1" t="s">
        <v>5516</v>
      </c>
      <c r="Q1297" s="1" t="s">
        <v>5517</v>
      </c>
      <c r="R1297" s="2" t="s">
        <v>4955</v>
      </c>
      <c r="S1297" s="1" t="s">
        <v>6243</v>
      </c>
      <c r="T1297" s="1">
        <v>3455</v>
      </c>
      <c r="U1297" s="1">
        <v>2155</v>
      </c>
      <c r="V1297" s="1">
        <v>2155</v>
      </c>
      <c r="AH1297" s="1">
        <v>1300</v>
      </c>
      <c r="AI1297" s="1">
        <v>1300</v>
      </c>
    </row>
    <row r="1298" spans="1:44" x14ac:dyDescent="0.2">
      <c r="A1298" s="1" t="s">
        <v>1363</v>
      </c>
      <c r="B1298" s="1">
        <v>20212171</v>
      </c>
      <c r="C1298" s="1" t="s">
        <v>7420</v>
      </c>
      <c r="E1298" s="21">
        <v>21</v>
      </c>
      <c r="G1298" s="1" t="s">
        <v>1364</v>
      </c>
      <c r="H1298" s="1" t="s">
        <v>7171</v>
      </c>
      <c r="I1298" s="5">
        <v>40245</v>
      </c>
      <c r="J1298" s="18" t="s">
        <v>11</v>
      </c>
      <c r="K1298" s="1" t="s">
        <v>455</v>
      </c>
      <c r="L1298" s="1" t="s">
        <v>1361</v>
      </c>
      <c r="M1298" s="5"/>
      <c r="N1298" s="5" t="s">
        <v>10</v>
      </c>
      <c r="O1298" s="5" t="s">
        <v>10</v>
      </c>
      <c r="P1298" s="1" t="s">
        <v>1362</v>
      </c>
      <c r="Q1298" s="1" t="s">
        <v>33</v>
      </c>
      <c r="R1298" s="2" t="s">
        <v>4368</v>
      </c>
      <c r="S1298" s="1" t="s">
        <v>6243</v>
      </c>
      <c r="T1298" s="1">
        <v>352</v>
      </c>
      <c r="U1298" s="1">
        <v>352</v>
      </c>
      <c r="V1298" s="1">
        <v>352</v>
      </c>
    </row>
    <row r="1299" spans="1:44" x14ac:dyDescent="0.2">
      <c r="A1299" s="1" t="s">
        <v>45</v>
      </c>
      <c r="B1299" s="1">
        <v>20215924</v>
      </c>
      <c r="C1299" s="1" t="s">
        <v>7420</v>
      </c>
      <c r="E1299" s="21">
        <v>42</v>
      </c>
      <c r="G1299" s="1" t="s">
        <v>7037</v>
      </c>
      <c r="H1299" s="1" t="s">
        <v>7144</v>
      </c>
      <c r="I1299" s="5">
        <v>40179</v>
      </c>
      <c r="J1299" s="18" t="s">
        <v>11</v>
      </c>
      <c r="K1299" s="1" t="s">
        <v>1243</v>
      </c>
      <c r="L1299" s="1" t="s">
        <v>1244</v>
      </c>
      <c r="M1299" s="5"/>
      <c r="N1299" s="5" t="s">
        <v>10</v>
      </c>
      <c r="O1299" s="5" t="s">
        <v>10</v>
      </c>
      <c r="P1299" s="1" t="s">
        <v>6413</v>
      </c>
      <c r="Q1299" s="1" t="s">
        <v>33</v>
      </c>
      <c r="R1299" s="2" t="s">
        <v>4416</v>
      </c>
      <c r="S1299" s="1" t="s">
        <v>6244</v>
      </c>
      <c r="T1299" s="1">
        <v>68</v>
      </c>
      <c r="U1299" s="1">
        <v>68</v>
      </c>
      <c r="V1299" s="1">
        <v>57</v>
      </c>
      <c r="W1299" s="1">
        <v>6</v>
      </c>
      <c r="AE1299" s="1">
        <v>5</v>
      </c>
    </row>
    <row r="1300" spans="1:44" x14ac:dyDescent="0.2">
      <c r="A1300" s="1" t="s">
        <v>1366</v>
      </c>
      <c r="B1300" s="1">
        <v>20222955</v>
      </c>
      <c r="C1300" s="1" t="s">
        <v>7420</v>
      </c>
      <c r="E1300" s="21">
        <v>161</v>
      </c>
      <c r="G1300" s="1" t="s">
        <v>6714</v>
      </c>
      <c r="H1300" s="1" t="s">
        <v>7250</v>
      </c>
      <c r="I1300" s="5">
        <v>40248</v>
      </c>
      <c r="J1300" s="18" t="s">
        <v>11</v>
      </c>
      <c r="K1300" s="1" t="s">
        <v>220</v>
      </c>
      <c r="L1300" s="1" t="s">
        <v>1365</v>
      </c>
      <c r="M1300" s="5"/>
      <c r="N1300" s="5" t="s">
        <v>10</v>
      </c>
      <c r="O1300" s="5" t="s">
        <v>10</v>
      </c>
      <c r="P1300" s="1" t="s">
        <v>4462</v>
      </c>
      <c r="Q1300" s="1" t="s">
        <v>4235</v>
      </c>
      <c r="R1300" s="2" t="s">
        <v>4236</v>
      </c>
      <c r="S1300" s="1" t="s">
        <v>6243</v>
      </c>
      <c r="T1300" s="1">
        <v>6041</v>
      </c>
      <c r="U1300" s="1">
        <v>4006</v>
      </c>
      <c r="V1300" s="1">
        <v>4006</v>
      </c>
      <c r="AH1300" s="1">
        <v>2035</v>
      </c>
      <c r="AI1300" s="1">
        <v>2035</v>
      </c>
    </row>
    <row r="1301" spans="1:44" x14ac:dyDescent="0.2">
      <c r="A1301" s="1" t="s">
        <v>183</v>
      </c>
      <c r="B1301" s="1">
        <v>20228798</v>
      </c>
      <c r="C1301" s="1" t="s">
        <v>7420</v>
      </c>
      <c r="E1301" s="21">
        <v>213</v>
      </c>
      <c r="G1301" s="1" t="s">
        <v>557</v>
      </c>
      <c r="H1301" s="1" t="s">
        <v>558</v>
      </c>
      <c r="I1301" s="5">
        <v>40251</v>
      </c>
      <c r="J1301" s="18" t="s">
        <v>11</v>
      </c>
      <c r="K1301" s="1" t="s">
        <v>28</v>
      </c>
      <c r="L1301" s="1" t="s">
        <v>1367</v>
      </c>
      <c r="M1301" s="5"/>
      <c r="N1301" s="5" t="s">
        <v>10</v>
      </c>
      <c r="O1301" s="5" t="s">
        <v>10</v>
      </c>
      <c r="P1301" s="1" t="s">
        <v>3961</v>
      </c>
      <c r="Q1301" s="1" t="s">
        <v>5494</v>
      </c>
      <c r="R1301" s="2" t="s">
        <v>4718</v>
      </c>
      <c r="S1301" s="1" t="s">
        <v>6243</v>
      </c>
      <c r="T1301" s="1">
        <v>10713</v>
      </c>
      <c r="U1301" s="1">
        <v>2746</v>
      </c>
      <c r="V1301" s="1">
        <v>2746</v>
      </c>
      <c r="AH1301" s="1">
        <v>7967</v>
      </c>
      <c r="AI1301" s="1">
        <v>7967</v>
      </c>
    </row>
    <row r="1302" spans="1:44" x14ac:dyDescent="0.2">
      <c r="A1302" s="1" t="s">
        <v>1369</v>
      </c>
      <c r="B1302" s="1">
        <v>20228799</v>
      </c>
      <c r="C1302" s="1" t="s">
        <v>7420</v>
      </c>
      <c r="E1302" s="21">
        <v>74</v>
      </c>
      <c r="G1302" s="1" t="s">
        <v>557</v>
      </c>
      <c r="H1302" s="1" t="s">
        <v>558</v>
      </c>
      <c r="I1302" s="5">
        <v>40251</v>
      </c>
      <c r="J1302" s="18" t="s">
        <v>11</v>
      </c>
      <c r="K1302" s="1" t="s">
        <v>28</v>
      </c>
      <c r="L1302" s="1" t="s">
        <v>1368</v>
      </c>
      <c r="M1302" s="5"/>
      <c r="N1302" s="5" t="s">
        <v>10</v>
      </c>
      <c r="O1302" s="5" t="s">
        <v>10</v>
      </c>
      <c r="P1302" s="1" t="s">
        <v>5530</v>
      </c>
      <c r="Q1302" s="1" t="s">
        <v>5531</v>
      </c>
      <c r="R1302" s="2" t="s">
        <v>4666</v>
      </c>
      <c r="S1302" s="1" t="s">
        <v>6243</v>
      </c>
      <c r="T1302" s="1">
        <v>13073</v>
      </c>
      <c r="U1302" s="1">
        <v>9484</v>
      </c>
      <c r="V1302" s="1">
        <v>9484</v>
      </c>
      <c r="AH1302" s="1">
        <v>3589</v>
      </c>
      <c r="AI1302" s="1">
        <v>3589</v>
      </c>
    </row>
    <row r="1303" spans="1:44" x14ac:dyDescent="0.2">
      <c r="A1303" s="1" t="s">
        <v>1374</v>
      </c>
      <c r="B1303" s="1">
        <v>20231535</v>
      </c>
      <c r="C1303" s="1" t="s">
        <v>7420</v>
      </c>
      <c r="E1303" s="21">
        <v>17</v>
      </c>
      <c r="G1303" s="1" t="s">
        <v>6904</v>
      </c>
      <c r="H1303" s="1" t="s">
        <v>7202</v>
      </c>
      <c r="I1303" s="5">
        <v>40252</v>
      </c>
      <c r="J1303" s="18" t="s">
        <v>11</v>
      </c>
      <c r="K1303" s="1" t="s">
        <v>1371</v>
      </c>
      <c r="L1303" s="1" t="s">
        <v>1372</v>
      </c>
      <c r="M1303" s="5"/>
      <c r="N1303" s="5" t="s">
        <v>10</v>
      </c>
      <c r="O1303" s="5" t="s">
        <v>10</v>
      </c>
      <c r="P1303" s="1" t="s">
        <v>5441</v>
      </c>
      <c r="Q1303" s="1" t="s">
        <v>5442</v>
      </c>
      <c r="R1303" s="2" t="s">
        <v>1373</v>
      </c>
      <c r="S1303" s="1" t="s">
        <v>6243</v>
      </c>
      <c r="T1303" s="1">
        <v>31212</v>
      </c>
      <c r="U1303" s="1">
        <v>23608</v>
      </c>
      <c r="V1303" s="1">
        <v>23608</v>
      </c>
      <c r="AH1303" s="1">
        <v>7604</v>
      </c>
      <c r="AI1303" s="1">
        <v>7604</v>
      </c>
    </row>
    <row r="1304" spans="1:44" x14ac:dyDescent="0.2">
      <c r="A1304" s="1" t="s">
        <v>84</v>
      </c>
      <c r="B1304" s="1">
        <v>20235792</v>
      </c>
      <c r="C1304" s="1" t="s">
        <v>7420</v>
      </c>
      <c r="D1304" s="1">
        <v>1</v>
      </c>
      <c r="E1304" s="21">
        <v>0</v>
      </c>
      <c r="G1304" s="1" t="s">
        <v>2570</v>
      </c>
      <c r="H1304" s="1" t="s">
        <v>7156</v>
      </c>
      <c r="I1304" s="5">
        <v>40252</v>
      </c>
      <c r="J1304" s="18" t="s">
        <v>11</v>
      </c>
      <c r="K1304" s="1" t="s">
        <v>708</v>
      </c>
      <c r="L1304" s="1" t="s">
        <v>1370</v>
      </c>
      <c r="M1304" s="5"/>
      <c r="N1304" s="5" t="s">
        <v>10</v>
      </c>
      <c r="O1304" s="5" t="s">
        <v>10</v>
      </c>
      <c r="P1304" s="1" t="s">
        <v>3834</v>
      </c>
      <c r="Q1304" s="1" t="s">
        <v>33</v>
      </c>
      <c r="R1304" s="2" t="s">
        <v>6444</v>
      </c>
      <c r="S1304" s="1" t="s">
        <v>6243</v>
      </c>
      <c r="T1304" s="1">
        <v>324</v>
      </c>
      <c r="U1304" s="1">
        <v>324</v>
      </c>
      <c r="V1304" s="1">
        <v>324</v>
      </c>
    </row>
    <row r="1305" spans="1:44" x14ac:dyDescent="0.2">
      <c r="A1305" s="1" t="s">
        <v>1376</v>
      </c>
      <c r="B1305" s="1">
        <v>20237162</v>
      </c>
      <c r="C1305" s="1" t="s">
        <v>7420</v>
      </c>
      <c r="E1305" s="21">
        <v>32</v>
      </c>
      <c r="G1305" s="1" t="s">
        <v>6899</v>
      </c>
      <c r="H1305" s="1" t="s">
        <v>7202</v>
      </c>
      <c r="I1305" s="5">
        <v>40254</v>
      </c>
      <c r="J1305" s="18" t="s">
        <v>11</v>
      </c>
      <c r="K1305" s="1" t="s">
        <v>1316</v>
      </c>
      <c r="L1305" s="1" t="s">
        <v>1375</v>
      </c>
      <c r="M1305" s="5"/>
      <c r="N1305" s="5" t="s">
        <v>10</v>
      </c>
      <c r="O1305" s="5" t="s">
        <v>10</v>
      </c>
      <c r="P1305" s="1" t="s">
        <v>3987</v>
      </c>
      <c r="Q1305" s="1" t="s">
        <v>33</v>
      </c>
      <c r="R1305" s="2" t="s">
        <v>4173</v>
      </c>
      <c r="S1305" s="1" t="s">
        <v>6270</v>
      </c>
      <c r="T1305" s="1">
        <v>1354</v>
      </c>
      <c r="U1305" s="1">
        <v>1354</v>
      </c>
      <c r="Z1305" s="1">
        <v>1354</v>
      </c>
    </row>
    <row r="1306" spans="1:44" x14ac:dyDescent="0.2">
      <c r="A1306" s="1" t="s">
        <v>1157</v>
      </c>
      <c r="B1306" s="1">
        <v>20303062</v>
      </c>
      <c r="C1306" s="1" t="s">
        <v>7420</v>
      </c>
      <c r="E1306" s="21">
        <v>151</v>
      </c>
      <c r="G1306" s="1" t="s">
        <v>1383</v>
      </c>
      <c r="H1306" s="1" t="s">
        <v>7316</v>
      </c>
      <c r="I1306" s="5">
        <v>40255</v>
      </c>
      <c r="J1306" s="18" t="s">
        <v>11</v>
      </c>
      <c r="K1306" s="1" t="s">
        <v>16</v>
      </c>
      <c r="L1306" s="1" t="s">
        <v>1382</v>
      </c>
      <c r="M1306" s="5"/>
      <c r="N1306" s="5" t="s">
        <v>10</v>
      </c>
      <c r="O1306" s="5" t="s">
        <v>10</v>
      </c>
      <c r="P1306" s="1" t="s">
        <v>4214</v>
      </c>
      <c r="Q1306" s="1" t="s">
        <v>4359</v>
      </c>
      <c r="R1306" s="2" t="s">
        <v>5005</v>
      </c>
      <c r="S1306" s="1" t="s">
        <v>6243</v>
      </c>
      <c r="T1306" s="1">
        <v>6548</v>
      </c>
      <c r="U1306" s="1">
        <v>2889</v>
      </c>
      <c r="V1306" s="1">
        <v>2889</v>
      </c>
      <c r="AH1306" s="1">
        <v>3659</v>
      </c>
      <c r="AI1306" s="1">
        <v>3659</v>
      </c>
    </row>
    <row r="1307" spans="1:44" x14ac:dyDescent="0.2">
      <c r="A1307" s="1" t="s">
        <v>1378</v>
      </c>
      <c r="B1307" s="1">
        <v>20303064</v>
      </c>
      <c r="C1307" s="1" t="s">
        <v>7420</v>
      </c>
      <c r="E1307" s="21">
        <v>13</v>
      </c>
      <c r="G1307" s="1" t="s">
        <v>6765</v>
      </c>
      <c r="H1307" s="1" t="s">
        <v>7198</v>
      </c>
      <c r="I1307" s="5">
        <v>40255</v>
      </c>
      <c r="J1307" s="18" t="s">
        <v>11</v>
      </c>
      <c r="K1307" s="1" t="s">
        <v>16</v>
      </c>
      <c r="L1307" s="1" t="s">
        <v>1377</v>
      </c>
      <c r="M1307" s="5"/>
      <c r="N1307" s="5" t="s">
        <v>10</v>
      </c>
      <c r="O1307" s="5" t="s">
        <v>10</v>
      </c>
      <c r="P1307" s="1" t="s">
        <v>3990</v>
      </c>
      <c r="Q1307" s="1" t="s">
        <v>33</v>
      </c>
      <c r="R1307" s="2" t="s">
        <v>4174</v>
      </c>
      <c r="S1307" s="1" t="s">
        <v>6243</v>
      </c>
      <c r="T1307" s="1">
        <v>1431</v>
      </c>
      <c r="U1307" s="1">
        <v>1431</v>
      </c>
      <c r="V1307" s="1">
        <v>1431</v>
      </c>
    </row>
    <row r="1308" spans="1:44" x14ac:dyDescent="0.2">
      <c r="A1308" s="1" t="s">
        <v>289</v>
      </c>
      <c r="B1308" s="1">
        <v>20304703</v>
      </c>
      <c r="C1308" s="1" t="s">
        <v>7420</v>
      </c>
      <c r="E1308" s="21">
        <v>133</v>
      </c>
      <c r="G1308" s="1" t="s">
        <v>1390</v>
      </c>
      <c r="H1308" s="1" t="s">
        <v>1809</v>
      </c>
      <c r="I1308" s="5">
        <v>40256</v>
      </c>
      <c r="J1308" s="18" t="s">
        <v>11</v>
      </c>
      <c r="K1308" s="1" t="s">
        <v>1388</v>
      </c>
      <c r="L1308" s="1" t="s">
        <v>1389</v>
      </c>
      <c r="M1308" s="5"/>
      <c r="N1308" s="5" t="s">
        <v>10</v>
      </c>
      <c r="O1308" s="5" t="s">
        <v>10</v>
      </c>
      <c r="P1308" s="1" t="s">
        <v>3676</v>
      </c>
      <c r="Q1308" s="1" t="s">
        <v>3677</v>
      </c>
      <c r="R1308" s="2" t="s">
        <v>3922</v>
      </c>
      <c r="S1308" s="1" t="s">
        <v>6389</v>
      </c>
      <c r="T1308" s="1">
        <v>2272</v>
      </c>
      <c r="U1308" s="1">
        <v>754</v>
      </c>
      <c r="V1308" s="1">
        <v>728</v>
      </c>
      <c r="AE1308" s="1">
        <v>26</v>
      </c>
      <c r="AH1308" s="1">
        <v>1518</v>
      </c>
      <c r="AI1308" s="1">
        <v>1299</v>
      </c>
      <c r="AR1308" s="1">
        <v>219</v>
      </c>
    </row>
    <row r="1309" spans="1:44" x14ac:dyDescent="0.2">
      <c r="A1309" s="1" t="s">
        <v>1386</v>
      </c>
      <c r="B1309" s="1">
        <v>20304771</v>
      </c>
      <c r="C1309" s="1" t="s">
        <v>7420</v>
      </c>
      <c r="E1309" s="21">
        <v>288</v>
      </c>
      <c r="G1309" s="1" t="s">
        <v>1387</v>
      </c>
      <c r="H1309" s="1" t="s">
        <v>2428</v>
      </c>
      <c r="I1309" s="5">
        <v>40255</v>
      </c>
      <c r="J1309" s="18" t="s">
        <v>11</v>
      </c>
      <c r="K1309" s="1" t="s">
        <v>1384</v>
      </c>
      <c r="L1309" s="1" t="s">
        <v>1385</v>
      </c>
      <c r="M1309" s="5"/>
      <c r="N1309" s="5" t="s">
        <v>10</v>
      </c>
      <c r="O1309" s="5" t="s">
        <v>10</v>
      </c>
      <c r="P1309" s="1" t="s">
        <v>6152</v>
      </c>
      <c r="Q1309" s="1" t="s">
        <v>6153</v>
      </c>
      <c r="R1309" s="2" t="s">
        <v>6005</v>
      </c>
      <c r="S1309" s="1" t="s">
        <v>6243</v>
      </c>
      <c r="T1309" s="1">
        <v>9816</v>
      </c>
      <c r="U1309" s="1">
        <v>3791</v>
      </c>
      <c r="V1309" s="1">
        <v>3791</v>
      </c>
      <c r="AH1309" s="1">
        <v>6025</v>
      </c>
      <c r="AI1309" s="1">
        <v>6025</v>
      </c>
    </row>
    <row r="1310" spans="1:44" x14ac:dyDescent="0.2">
      <c r="A1310" s="1" t="s">
        <v>1381</v>
      </c>
      <c r="B1310" s="1">
        <v>20305777</v>
      </c>
      <c r="C1310" s="1" t="s">
        <v>7420</v>
      </c>
      <c r="D1310" s="1" t="s">
        <v>7411</v>
      </c>
      <c r="E1310" s="21">
        <v>2</v>
      </c>
      <c r="G1310" s="1" t="s">
        <v>6858</v>
      </c>
      <c r="H1310" s="1" t="s">
        <v>430</v>
      </c>
      <c r="I1310" s="5">
        <v>40255</v>
      </c>
      <c r="J1310" s="18" t="s">
        <v>11</v>
      </c>
      <c r="K1310" s="1" t="s">
        <v>181</v>
      </c>
      <c r="L1310" s="1" t="s">
        <v>1379</v>
      </c>
      <c r="M1310" s="5"/>
      <c r="N1310" s="5" t="s">
        <v>10</v>
      </c>
      <c r="O1310" s="5" t="s">
        <v>10</v>
      </c>
      <c r="P1310" s="1" t="s">
        <v>4396</v>
      </c>
      <c r="Q1310" s="1" t="s">
        <v>1380</v>
      </c>
      <c r="R1310" s="2" t="s">
        <v>4941</v>
      </c>
      <c r="S1310" s="1" t="s">
        <v>6244</v>
      </c>
      <c r="T1310" s="1">
        <v>6693</v>
      </c>
      <c r="U1310" s="1">
        <v>4295</v>
      </c>
      <c r="X1310" s="1">
        <v>4295</v>
      </c>
      <c r="AH1310" s="1">
        <v>2398</v>
      </c>
      <c r="AI1310" s="1">
        <v>1884</v>
      </c>
      <c r="AK1310" s="1">
        <v>514</v>
      </c>
    </row>
    <row r="1311" spans="1:44" x14ac:dyDescent="0.2">
      <c r="A1311" s="1" t="s">
        <v>1393</v>
      </c>
      <c r="B1311" s="1">
        <v>20306291</v>
      </c>
      <c r="C1311" s="1" t="s">
        <v>7420</v>
      </c>
      <c r="E1311" s="21">
        <v>11</v>
      </c>
      <c r="G1311" s="1" t="s">
        <v>6832</v>
      </c>
      <c r="H1311" s="1" t="s">
        <v>40</v>
      </c>
      <c r="I1311" s="5">
        <v>40258</v>
      </c>
      <c r="J1311" s="18" t="s">
        <v>11</v>
      </c>
      <c r="K1311" s="1" t="s">
        <v>382</v>
      </c>
      <c r="L1311" s="1" t="s">
        <v>1391</v>
      </c>
      <c r="M1311" s="5"/>
      <c r="N1311" s="5" t="s">
        <v>10</v>
      </c>
      <c r="O1311" s="5" t="s">
        <v>10</v>
      </c>
      <c r="P1311" s="1" t="s">
        <v>1392</v>
      </c>
      <c r="Q1311" s="1" t="s">
        <v>4274</v>
      </c>
      <c r="R1311" s="2" t="s">
        <v>4843</v>
      </c>
      <c r="S1311" s="1" t="s">
        <v>6243</v>
      </c>
      <c r="T1311" s="1">
        <v>3479</v>
      </c>
      <c r="U1311" s="1">
        <v>860</v>
      </c>
      <c r="V1311" s="1">
        <v>860</v>
      </c>
      <c r="AH1311" s="1">
        <v>2619</v>
      </c>
      <c r="AI1311" s="1">
        <v>2619</v>
      </c>
    </row>
    <row r="1312" spans="1:44" x14ac:dyDescent="0.2">
      <c r="A1312" s="1" t="s">
        <v>1398</v>
      </c>
      <c r="B1312" s="1">
        <v>20332263</v>
      </c>
      <c r="C1312" s="1" t="s">
        <v>7420</v>
      </c>
      <c r="E1312" s="21">
        <v>10</v>
      </c>
      <c r="G1312" s="1" t="s">
        <v>1399</v>
      </c>
      <c r="H1312" s="1" t="s">
        <v>6676</v>
      </c>
      <c r="I1312" s="5">
        <v>40260</v>
      </c>
      <c r="J1312" s="18" t="s">
        <v>11</v>
      </c>
      <c r="K1312" s="1" t="s">
        <v>1396</v>
      </c>
      <c r="L1312" s="1" t="s">
        <v>1397</v>
      </c>
      <c r="M1312" s="5"/>
      <c r="N1312" s="5" t="s">
        <v>11</v>
      </c>
      <c r="O1312" s="5" t="s">
        <v>11</v>
      </c>
      <c r="P1312" s="1" t="s">
        <v>3726</v>
      </c>
      <c r="Q1312" s="1" t="s">
        <v>4405</v>
      </c>
      <c r="R1312" s="2" t="s">
        <v>4782</v>
      </c>
      <c r="S1312" s="1" t="s">
        <v>6243</v>
      </c>
      <c r="T1312" s="1">
        <v>5480</v>
      </c>
      <c r="U1312" s="1">
        <v>1145</v>
      </c>
      <c r="V1312" s="1">
        <v>1145</v>
      </c>
      <c r="AH1312" s="1">
        <v>4335</v>
      </c>
      <c r="AI1312" s="1">
        <v>4335</v>
      </c>
    </row>
    <row r="1313" spans="1:37" x14ac:dyDescent="0.2">
      <c r="A1313" s="1" t="s">
        <v>1395</v>
      </c>
      <c r="B1313" s="1">
        <v>20339536</v>
      </c>
      <c r="C1313" s="1" t="s">
        <v>7420</v>
      </c>
      <c r="E1313" s="21">
        <v>980918</v>
      </c>
      <c r="G1313" s="1" t="s">
        <v>6939</v>
      </c>
      <c r="H1313" s="1" t="s">
        <v>7312</v>
      </c>
      <c r="I1313" s="5">
        <v>40259</v>
      </c>
      <c r="J1313" s="18" t="s">
        <v>11</v>
      </c>
      <c r="K1313" s="1" t="s">
        <v>181</v>
      </c>
      <c r="L1313" s="1" t="s">
        <v>1394</v>
      </c>
      <c r="M1313" s="5"/>
      <c r="N1313" s="5" t="s">
        <v>10</v>
      </c>
      <c r="O1313" s="5" t="s">
        <v>10</v>
      </c>
      <c r="P1313" s="1" t="s">
        <v>6226</v>
      </c>
      <c r="Q1313" s="1" t="s">
        <v>33</v>
      </c>
      <c r="R1313" s="2" t="s">
        <v>667</v>
      </c>
      <c r="S1313" s="1" t="s">
        <v>6243</v>
      </c>
      <c r="T1313" s="1">
        <v>3928</v>
      </c>
      <c r="U1313" s="1">
        <v>3928</v>
      </c>
      <c r="V1313" s="1">
        <v>3928</v>
      </c>
    </row>
    <row r="1314" spans="1:37" x14ac:dyDescent="0.2">
      <c r="A1314" s="1" t="s">
        <v>2662</v>
      </c>
      <c r="B1314" s="1">
        <v>20345837</v>
      </c>
      <c r="C1314" s="1" t="s">
        <v>7420</v>
      </c>
      <c r="E1314" s="21">
        <v>30</v>
      </c>
      <c r="G1314" s="1" t="s">
        <v>2661</v>
      </c>
      <c r="H1314" s="1" t="s">
        <v>179</v>
      </c>
      <c r="I1314" s="5">
        <v>40262</v>
      </c>
      <c r="J1314" s="18" t="s">
        <v>10</v>
      </c>
      <c r="K1314" s="1" t="s">
        <v>2865</v>
      </c>
      <c r="L1314" s="1" t="s">
        <v>2866</v>
      </c>
      <c r="N1314" s="5" t="s">
        <v>10</v>
      </c>
      <c r="O1314" s="5" t="s">
        <v>10</v>
      </c>
      <c r="P1314" s="1" t="s">
        <v>3799</v>
      </c>
      <c r="Q1314" s="1" t="s">
        <v>3800</v>
      </c>
      <c r="R1314" s="2" t="s">
        <v>4136</v>
      </c>
      <c r="S1314" s="1" t="s">
        <v>6243</v>
      </c>
      <c r="T1314" s="1">
        <v>1186</v>
      </c>
      <c r="U1314" s="1">
        <v>600</v>
      </c>
      <c r="V1314" s="1">
        <v>600</v>
      </c>
      <c r="AH1314" s="1">
        <v>586</v>
      </c>
      <c r="AI1314" s="1">
        <v>586</v>
      </c>
    </row>
    <row r="1315" spans="1:37" x14ac:dyDescent="0.2">
      <c r="A1315" s="1" t="s">
        <v>2660</v>
      </c>
      <c r="B1315" s="1">
        <v>20347642</v>
      </c>
      <c r="C1315" s="1" t="s">
        <v>7420</v>
      </c>
      <c r="E1315" s="21">
        <v>109</v>
      </c>
      <c r="G1315" s="1" t="s">
        <v>6876</v>
      </c>
      <c r="H1315" s="1" t="s">
        <v>7377</v>
      </c>
      <c r="I1315" s="5">
        <v>40252</v>
      </c>
      <c r="J1315" s="18" t="s">
        <v>10</v>
      </c>
      <c r="K1315" s="1" t="s">
        <v>2867</v>
      </c>
      <c r="L1315" s="1" t="s">
        <v>2868</v>
      </c>
      <c r="N1315" s="5" t="s">
        <v>10</v>
      </c>
      <c r="O1315" s="5" t="s">
        <v>10</v>
      </c>
      <c r="P1315" s="1" t="s">
        <v>3505</v>
      </c>
      <c r="Q1315" s="1" t="s">
        <v>33</v>
      </c>
      <c r="R1315" s="2" t="s">
        <v>5947</v>
      </c>
      <c r="S1315" s="1" t="s">
        <v>6243</v>
      </c>
      <c r="T1315" s="1">
        <v>1705</v>
      </c>
      <c r="U1315" s="1">
        <v>1705</v>
      </c>
      <c r="V1315" s="1">
        <v>1705</v>
      </c>
    </row>
    <row r="1316" spans="1:37" x14ac:dyDescent="0.2">
      <c r="A1316" s="1" t="s">
        <v>1403</v>
      </c>
      <c r="B1316" s="1">
        <v>20348956</v>
      </c>
      <c r="C1316" s="1" t="s">
        <v>7420</v>
      </c>
      <c r="E1316" s="21">
        <v>28</v>
      </c>
      <c r="G1316" s="1" t="s">
        <v>1016</v>
      </c>
      <c r="H1316" s="1" t="s">
        <v>525</v>
      </c>
      <c r="I1316" s="5">
        <v>40265</v>
      </c>
      <c r="J1316" s="18" t="s">
        <v>11</v>
      </c>
      <c r="K1316" s="1" t="s">
        <v>28</v>
      </c>
      <c r="L1316" s="1" t="s">
        <v>1402</v>
      </c>
      <c r="M1316" s="5"/>
      <c r="N1316" s="5" t="s">
        <v>10</v>
      </c>
      <c r="O1316" s="5" t="s">
        <v>10</v>
      </c>
      <c r="P1316" s="1" t="s">
        <v>4762</v>
      </c>
      <c r="Q1316" s="1" t="s">
        <v>4093</v>
      </c>
      <c r="R1316" s="2" t="s">
        <v>4488</v>
      </c>
      <c r="S1316" s="1" t="s">
        <v>6243</v>
      </c>
      <c r="T1316" s="1">
        <v>50288</v>
      </c>
      <c r="U1316" s="1">
        <v>41199</v>
      </c>
      <c r="V1316" s="1">
        <v>41199</v>
      </c>
      <c r="AH1316" s="1">
        <v>9089</v>
      </c>
      <c r="AI1316" s="1">
        <v>9089</v>
      </c>
    </row>
    <row r="1317" spans="1:37" x14ac:dyDescent="0.2">
      <c r="A1317" s="1" t="s">
        <v>2653</v>
      </c>
      <c r="B1317" s="1">
        <v>20350937</v>
      </c>
      <c r="C1317" s="1" t="s">
        <v>7420</v>
      </c>
      <c r="E1317" s="21">
        <v>43</v>
      </c>
      <c r="G1317" s="1" t="s">
        <v>6928</v>
      </c>
      <c r="H1317" s="1" t="s">
        <v>2679</v>
      </c>
      <c r="I1317" s="5">
        <v>40266</v>
      </c>
      <c r="J1317" s="18" t="s">
        <v>10</v>
      </c>
      <c r="K1317" s="1" t="s">
        <v>103</v>
      </c>
      <c r="L1317" s="1" t="s">
        <v>2869</v>
      </c>
      <c r="N1317" s="5" t="s">
        <v>10</v>
      </c>
      <c r="O1317" s="5" t="s">
        <v>10</v>
      </c>
      <c r="P1317" s="1" t="s">
        <v>3648</v>
      </c>
      <c r="Q1317" s="1" t="s">
        <v>3649</v>
      </c>
      <c r="R1317" s="2" t="s">
        <v>6040</v>
      </c>
      <c r="S1317" s="1" t="s">
        <v>6243</v>
      </c>
      <c r="T1317" s="1">
        <v>1928</v>
      </c>
      <c r="U1317" s="1">
        <v>1021</v>
      </c>
      <c r="V1317" s="1">
        <v>1021</v>
      </c>
      <c r="AH1317" s="1">
        <v>907</v>
      </c>
      <c r="AI1317" s="1">
        <v>907</v>
      </c>
    </row>
    <row r="1318" spans="1:37" x14ac:dyDescent="0.2">
      <c r="A1318" s="1" t="s">
        <v>45</v>
      </c>
      <c r="B1318" s="1">
        <v>20351715</v>
      </c>
      <c r="C1318" s="1" t="s">
        <v>7420</v>
      </c>
      <c r="E1318" s="21">
        <v>455</v>
      </c>
      <c r="G1318" s="1" t="s">
        <v>112</v>
      </c>
      <c r="H1318" s="1" t="s">
        <v>7145</v>
      </c>
      <c r="I1318" s="5">
        <v>40267</v>
      </c>
      <c r="J1318" s="18" t="s">
        <v>11</v>
      </c>
      <c r="K1318" s="1" t="s">
        <v>71</v>
      </c>
      <c r="L1318" s="1" t="s">
        <v>1404</v>
      </c>
      <c r="M1318" s="5"/>
      <c r="N1318" s="5" t="s">
        <v>10</v>
      </c>
      <c r="O1318" s="5" t="s">
        <v>10</v>
      </c>
      <c r="P1318" s="1" t="s">
        <v>6227</v>
      </c>
      <c r="Q1318" s="1" t="s">
        <v>33</v>
      </c>
      <c r="R1318" s="2" t="s">
        <v>4238</v>
      </c>
      <c r="S1318" s="1" t="s">
        <v>6243</v>
      </c>
      <c r="T1318" s="1">
        <v>14052</v>
      </c>
      <c r="U1318" s="1">
        <v>14052</v>
      </c>
      <c r="V1318" s="1">
        <v>14052</v>
      </c>
    </row>
    <row r="1319" spans="1:37" x14ac:dyDescent="0.2">
      <c r="A1319" s="1" t="s">
        <v>45</v>
      </c>
      <c r="B1319" s="1">
        <v>20351726</v>
      </c>
      <c r="C1319" s="1" t="s">
        <v>7420</v>
      </c>
      <c r="E1319" s="21">
        <v>6727</v>
      </c>
      <c r="F1319" s="17">
        <v>1</v>
      </c>
      <c r="G1319" s="1" t="s">
        <v>6826</v>
      </c>
      <c r="H1319" s="1" t="s">
        <v>7351</v>
      </c>
      <c r="I1319" s="5">
        <v>40267</v>
      </c>
      <c r="J1319" s="18" t="s">
        <v>10</v>
      </c>
      <c r="K1319" s="1" t="s">
        <v>71</v>
      </c>
      <c r="L1319" s="1" t="s">
        <v>2870</v>
      </c>
      <c r="M1319" s="5"/>
      <c r="N1319" s="5" t="s">
        <v>10</v>
      </c>
      <c r="O1319" s="5" t="s">
        <v>10</v>
      </c>
      <c r="P1319" s="2" t="s">
        <v>5122</v>
      </c>
      <c r="Q1319" s="1" t="s">
        <v>33</v>
      </c>
      <c r="R1319" s="10" t="s">
        <v>5841</v>
      </c>
      <c r="S1319" s="1" t="s">
        <v>6243</v>
      </c>
      <c r="T1319" s="1">
        <v>127</v>
      </c>
      <c r="U1319" s="1">
        <v>127</v>
      </c>
      <c r="V1319" s="1">
        <v>127</v>
      </c>
    </row>
    <row r="1320" spans="1:37" x14ac:dyDescent="0.2">
      <c r="A1320" s="1" t="s">
        <v>1406</v>
      </c>
      <c r="B1320" s="1">
        <v>20360315</v>
      </c>
      <c r="C1320" s="1" t="s">
        <v>7420</v>
      </c>
      <c r="E1320" s="21">
        <v>127</v>
      </c>
      <c r="G1320" s="1" t="s">
        <v>6937</v>
      </c>
      <c r="H1320" s="1" t="s">
        <v>1056</v>
      </c>
      <c r="I1320" s="5">
        <v>40269</v>
      </c>
      <c r="J1320" s="18" t="s">
        <v>11</v>
      </c>
      <c r="K1320" s="1" t="s">
        <v>879</v>
      </c>
      <c r="L1320" s="1" t="s">
        <v>1405</v>
      </c>
      <c r="M1320" s="5"/>
      <c r="N1320" s="5" t="s">
        <v>10</v>
      </c>
      <c r="O1320" s="5" t="s">
        <v>10</v>
      </c>
      <c r="P1320" s="1" t="s">
        <v>3511</v>
      </c>
      <c r="Q1320" s="1" t="s">
        <v>33</v>
      </c>
      <c r="R1320" s="2" t="s">
        <v>4933</v>
      </c>
      <c r="S1320" s="1" t="s">
        <v>6243</v>
      </c>
      <c r="T1320" s="1">
        <v>706</v>
      </c>
      <c r="U1320" s="1">
        <v>706</v>
      </c>
      <c r="V1320" s="1">
        <v>706</v>
      </c>
    </row>
    <row r="1321" spans="1:37" x14ac:dyDescent="0.2">
      <c r="A1321" s="1" t="s">
        <v>30</v>
      </c>
      <c r="B1321" s="1">
        <v>20360844</v>
      </c>
      <c r="C1321" s="1" t="s">
        <v>7420</v>
      </c>
      <c r="E1321" s="21">
        <v>13</v>
      </c>
      <c r="G1321" s="1" t="s">
        <v>1401</v>
      </c>
      <c r="H1321" s="1" t="s">
        <v>7192</v>
      </c>
      <c r="I1321" s="5">
        <v>40262</v>
      </c>
      <c r="J1321" s="18" t="s">
        <v>11</v>
      </c>
      <c r="K1321" s="1" t="s">
        <v>181</v>
      </c>
      <c r="L1321" s="1" t="s">
        <v>1400</v>
      </c>
      <c r="M1321" s="5"/>
      <c r="N1321" s="5" t="s">
        <v>10</v>
      </c>
      <c r="O1321" s="5" t="s">
        <v>10</v>
      </c>
      <c r="P1321" s="1" t="s">
        <v>6141</v>
      </c>
      <c r="Q1321" s="1" t="s">
        <v>6337</v>
      </c>
      <c r="R1321" s="2" t="s">
        <v>4676</v>
      </c>
      <c r="S1321" s="1" t="s">
        <v>6244</v>
      </c>
      <c r="T1321" s="1">
        <v>19969</v>
      </c>
      <c r="U1321" s="1">
        <v>650</v>
      </c>
      <c r="V1321" s="1">
        <v>650</v>
      </c>
      <c r="AH1321" s="1">
        <v>19319</v>
      </c>
      <c r="AI1321" s="1">
        <v>14767</v>
      </c>
      <c r="AJ1321" s="1">
        <v>4552</v>
      </c>
    </row>
    <row r="1322" spans="1:37" x14ac:dyDescent="0.2">
      <c r="A1322" s="1" t="s">
        <v>1413</v>
      </c>
      <c r="B1322" s="1">
        <v>20363506</v>
      </c>
      <c r="C1322" s="1" t="s">
        <v>7420</v>
      </c>
      <c r="E1322" s="21">
        <v>29</v>
      </c>
      <c r="G1322" s="1" t="s">
        <v>6747</v>
      </c>
      <c r="H1322" s="1" t="s">
        <v>1414</v>
      </c>
      <c r="I1322" s="5">
        <v>40270</v>
      </c>
      <c r="J1322" s="18" t="s">
        <v>11</v>
      </c>
      <c r="K1322" s="1" t="s">
        <v>1410</v>
      </c>
      <c r="L1322" s="1" t="s">
        <v>1411</v>
      </c>
      <c r="M1322" s="5"/>
      <c r="N1322" s="5" t="s">
        <v>10</v>
      </c>
      <c r="O1322" s="5" t="s">
        <v>10</v>
      </c>
      <c r="P1322" s="1" t="s">
        <v>1412</v>
      </c>
      <c r="Q1322" s="1" t="s">
        <v>33</v>
      </c>
      <c r="R1322" s="2" t="s">
        <v>4579</v>
      </c>
      <c r="S1322" s="1" t="s">
        <v>6242</v>
      </c>
      <c r="T1322" s="1">
        <v>660</v>
      </c>
      <c r="U1322" s="1">
        <v>660</v>
      </c>
      <c r="X1322" s="1">
        <v>660</v>
      </c>
    </row>
    <row r="1323" spans="1:37" x14ac:dyDescent="0.2">
      <c r="A1323" s="1" t="s">
        <v>1416</v>
      </c>
      <c r="B1323" s="1">
        <v>20364137</v>
      </c>
      <c r="C1323" s="1" t="s">
        <v>7420</v>
      </c>
      <c r="E1323" s="21">
        <v>13</v>
      </c>
      <c r="G1323" s="1" t="s">
        <v>604</v>
      </c>
      <c r="H1323" s="1" t="s">
        <v>7404</v>
      </c>
      <c r="I1323" s="5">
        <v>40272</v>
      </c>
      <c r="J1323" s="18" t="s">
        <v>11</v>
      </c>
      <c r="K1323" s="1" t="s">
        <v>28</v>
      </c>
      <c r="L1323" s="1" t="s">
        <v>1415</v>
      </c>
      <c r="M1323" s="5"/>
      <c r="N1323" s="5" t="s">
        <v>10</v>
      </c>
      <c r="O1323" s="5" t="s">
        <v>10</v>
      </c>
      <c r="P1323" s="1" t="s">
        <v>4212</v>
      </c>
      <c r="Q1323" s="1" t="s">
        <v>4357</v>
      </c>
      <c r="R1323" s="2" t="s">
        <v>4047</v>
      </c>
      <c r="S1323" s="1" t="s">
        <v>6244</v>
      </c>
      <c r="T1323" s="1">
        <v>20072</v>
      </c>
      <c r="U1323" s="1">
        <v>15295</v>
      </c>
      <c r="V1323" s="1">
        <v>15295</v>
      </c>
      <c r="AH1323" s="1">
        <v>4777</v>
      </c>
      <c r="AK1323" s="1">
        <v>4777</v>
      </c>
    </row>
    <row r="1324" spans="1:37" x14ac:dyDescent="0.2">
      <c r="A1324" s="1" t="s">
        <v>2415</v>
      </c>
      <c r="B1324" s="1">
        <v>20368705</v>
      </c>
      <c r="C1324" s="1" t="s">
        <v>7420</v>
      </c>
      <c r="E1324" s="21">
        <v>18</v>
      </c>
      <c r="G1324" s="1" t="s">
        <v>6629</v>
      </c>
      <c r="H1324" s="1" t="s">
        <v>179</v>
      </c>
      <c r="I1324" s="5">
        <v>40274</v>
      </c>
      <c r="J1324" s="18" t="s">
        <v>10</v>
      </c>
      <c r="K1324" s="1" t="s">
        <v>71</v>
      </c>
      <c r="L1324" s="1" t="s">
        <v>2871</v>
      </c>
      <c r="M1324" s="5"/>
      <c r="N1324" s="5" t="s">
        <v>10</v>
      </c>
      <c r="O1324" s="5" t="s">
        <v>10</v>
      </c>
      <c r="P1324" s="1" t="s">
        <v>6641</v>
      </c>
      <c r="Q1324" s="1" t="s">
        <v>5206</v>
      </c>
      <c r="R1324" s="2" t="s">
        <v>5732</v>
      </c>
      <c r="S1324" s="1" t="s">
        <v>6243</v>
      </c>
      <c r="T1324" s="1">
        <v>1823</v>
      </c>
      <c r="U1324" s="1">
        <v>438</v>
      </c>
      <c r="V1324" s="1">
        <v>438</v>
      </c>
      <c r="AH1324" s="1">
        <v>1385</v>
      </c>
      <c r="AI1324" s="1">
        <v>1385</v>
      </c>
    </row>
    <row r="1325" spans="1:37" x14ac:dyDescent="0.2">
      <c r="A1325" s="1" t="s">
        <v>1418</v>
      </c>
      <c r="B1325" s="1">
        <v>20370913</v>
      </c>
      <c r="C1325" s="1" t="s">
        <v>7420</v>
      </c>
      <c r="E1325" s="21">
        <v>29</v>
      </c>
      <c r="G1325" s="1" t="s">
        <v>242</v>
      </c>
      <c r="H1325" s="1" t="s">
        <v>7160</v>
      </c>
      <c r="I1325" s="5">
        <v>40274</v>
      </c>
      <c r="J1325" s="18" t="s">
        <v>11</v>
      </c>
      <c r="K1325" s="1" t="s">
        <v>220</v>
      </c>
      <c r="L1325" s="1" t="s">
        <v>1417</v>
      </c>
      <c r="M1325" s="5"/>
      <c r="N1325" s="5" t="s">
        <v>10</v>
      </c>
      <c r="O1325" s="5" t="s">
        <v>10</v>
      </c>
      <c r="P1325" s="1" t="s">
        <v>5567</v>
      </c>
      <c r="Q1325" s="1" t="s">
        <v>4092</v>
      </c>
      <c r="R1325" s="2" t="s">
        <v>6456</v>
      </c>
      <c r="S1325" s="1" t="s">
        <v>6243</v>
      </c>
      <c r="T1325" s="1">
        <v>7309</v>
      </c>
      <c r="U1325" s="1">
        <v>6078</v>
      </c>
      <c r="V1325" s="1">
        <v>6078</v>
      </c>
      <c r="AH1325" s="1">
        <v>1231</v>
      </c>
      <c r="AI1325" s="1">
        <v>1231</v>
      </c>
    </row>
    <row r="1326" spans="1:37" x14ac:dyDescent="0.2">
      <c r="A1326" s="1" t="s">
        <v>1421</v>
      </c>
      <c r="B1326" s="1">
        <v>20372150</v>
      </c>
      <c r="C1326" s="1" t="s">
        <v>7420</v>
      </c>
      <c r="E1326" s="21">
        <v>14</v>
      </c>
      <c r="G1326" s="1" t="s">
        <v>1422</v>
      </c>
      <c r="H1326" s="1" t="s">
        <v>1423</v>
      </c>
      <c r="I1326" s="5">
        <v>40274</v>
      </c>
      <c r="J1326" s="18" t="s">
        <v>11</v>
      </c>
      <c r="K1326" s="1" t="s">
        <v>28</v>
      </c>
      <c r="L1326" s="1" t="s">
        <v>1419</v>
      </c>
      <c r="M1326" s="5"/>
      <c r="N1326" s="5" t="s">
        <v>10</v>
      </c>
      <c r="O1326" s="5" t="s">
        <v>10</v>
      </c>
      <c r="P1326" s="1" t="s">
        <v>5495</v>
      </c>
      <c r="Q1326" s="1" t="s">
        <v>5496</v>
      </c>
      <c r="R1326" s="2" t="s">
        <v>1420</v>
      </c>
      <c r="S1326" s="1" t="s">
        <v>6243</v>
      </c>
      <c r="T1326" s="1">
        <v>38214</v>
      </c>
      <c r="U1326" s="1">
        <v>10623</v>
      </c>
      <c r="V1326" s="1">
        <v>10623</v>
      </c>
      <c r="AH1326" s="1">
        <v>27591</v>
      </c>
      <c r="AI1326" s="1">
        <v>27591</v>
      </c>
    </row>
    <row r="1327" spans="1:37" x14ac:dyDescent="0.2">
      <c r="A1327" s="1" t="s">
        <v>1121</v>
      </c>
      <c r="B1327" s="1">
        <v>20383145</v>
      </c>
      <c r="C1327" s="1" t="s">
        <v>7420</v>
      </c>
      <c r="E1327" s="21">
        <v>29</v>
      </c>
      <c r="G1327" s="1" t="s">
        <v>6714</v>
      </c>
      <c r="H1327" s="1" t="s">
        <v>7250</v>
      </c>
      <c r="I1327" s="5">
        <v>40279</v>
      </c>
      <c r="J1327" s="18" t="s">
        <v>11</v>
      </c>
      <c r="K1327" s="1" t="s">
        <v>28</v>
      </c>
      <c r="L1327" s="1" t="s">
        <v>1424</v>
      </c>
      <c r="M1327" s="5"/>
      <c r="N1327" s="5" t="s">
        <v>10</v>
      </c>
      <c r="O1327" s="5" t="s">
        <v>10</v>
      </c>
      <c r="P1327" s="1" t="s">
        <v>5528</v>
      </c>
      <c r="Q1327" s="1" t="s">
        <v>4669</v>
      </c>
      <c r="R1327" s="2" t="s">
        <v>1425</v>
      </c>
      <c r="S1327" s="1" t="s">
        <v>6243</v>
      </c>
      <c r="T1327" s="1">
        <v>40438</v>
      </c>
      <c r="U1327" s="1">
        <v>23812</v>
      </c>
      <c r="V1327" s="1">
        <v>23812</v>
      </c>
      <c r="AH1327" s="1">
        <v>16626</v>
      </c>
      <c r="AI1327" s="1">
        <v>16626</v>
      </c>
    </row>
    <row r="1328" spans="1:37" x14ac:dyDescent="0.2">
      <c r="A1328" s="1" t="s">
        <v>1427</v>
      </c>
      <c r="B1328" s="1">
        <v>20383146</v>
      </c>
      <c r="C1328" s="1" t="s">
        <v>7420</v>
      </c>
      <c r="E1328" s="21">
        <v>437642</v>
      </c>
      <c r="G1328" s="1" t="s">
        <v>6857</v>
      </c>
      <c r="H1328" s="1" t="s">
        <v>7401</v>
      </c>
      <c r="I1328" s="5">
        <v>40279</v>
      </c>
      <c r="J1328" s="18" t="s">
        <v>11</v>
      </c>
      <c r="K1328" s="1" t="s">
        <v>28</v>
      </c>
      <c r="L1328" s="1" t="s">
        <v>1426</v>
      </c>
      <c r="M1328" s="5"/>
      <c r="N1328" s="5" t="s">
        <v>10</v>
      </c>
      <c r="O1328" s="5" t="s">
        <v>10</v>
      </c>
      <c r="P1328" s="1" t="s">
        <v>5451</v>
      </c>
      <c r="Q1328" s="1" t="s">
        <v>5452</v>
      </c>
      <c r="R1328" s="2" t="s">
        <v>868</v>
      </c>
      <c r="S1328" s="1" t="s">
        <v>6243</v>
      </c>
      <c r="T1328" s="1">
        <v>90075</v>
      </c>
      <c r="U1328" s="1">
        <v>67093</v>
      </c>
      <c r="V1328" s="1">
        <v>67093</v>
      </c>
      <c r="AH1328" s="1">
        <v>22982</v>
      </c>
      <c r="AI1328" s="1">
        <v>22982</v>
      </c>
    </row>
    <row r="1329" spans="1:37" x14ac:dyDescent="0.2">
      <c r="A1329" s="1" t="s">
        <v>1429</v>
      </c>
      <c r="B1329" s="1">
        <v>20383147</v>
      </c>
      <c r="C1329" s="1" t="s">
        <v>7420</v>
      </c>
      <c r="E1329" s="21">
        <v>40</v>
      </c>
      <c r="G1329" s="1" t="s">
        <v>1196</v>
      </c>
      <c r="H1329" s="1" t="s">
        <v>1197</v>
      </c>
      <c r="I1329" s="5">
        <v>40279</v>
      </c>
      <c r="J1329" s="18" t="s">
        <v>11</v>
      </c>
      <c r="K1329" s="1" t="s">
        <v>28</v>
      </c>
      <c r="L1329" s="1" t="s">
        <v>1428</v>
      </c>
      <c r="M1329" s="5"/>
      <c r="N1329" s="5" t="s">
        <v>10</v>
      </c>
      <c r="O1329" s="5" t="s">
        <v>10</v>
      </c>
      <c r="P1329" s="1" t="s">
        <v>5167</v>
      </c>
      <c r="Q1329" s="1" t="s">
        <v>5168</v>
      </c>
      <c r="R1329" s="2" t="s">
        <v>4904</v>
      </c>
      <c r="S1329" s="1" t="s">
        <v>6243</v>
      </c>
      <c r="T1329" s="1">
        <v>14789</v>
      </c>
      <c r="U1329" s="1">
        <v>7467</v>
      </c>
      <c r="V1329" s="1">
        <v>7467</v>
      </c>
      <c r="AH1329" s="1">
        <v>7322</v>
      </c>
      <c r="AI1329" s="1">
        <v>7322</v>
      </c>
    </row>
    <row r="1330" spans="1:37" x14ac:dyDescent="0.2">
      <c r="A1330" s="1" t="s">
        <v>1431</v>
      </c>
      <c r="B1330" s="1">
        <v>20385819</v>
      </c>
      <c r="C1330" s="1" t="s">
        <v>7420</v>
      </c>
      <c r="E1330" s="21">
        <v>77</v>
      </c>
      <c r="G1330" s="1" t="s">
        <v>15</v>
      </c>
      <c r="H1330" s="1" t="s">
        <v>7143</v>
      </c>
      <c r="I1330" s="5">
        <v>40280</v>
      </c>
      <c r="J1330" s="18" t="s">
        <v>11</v>
      </c>
      <c r="K1330" s="1" t="s">
        <v>210</v>
      </c>
      <c r="L1330" s="1" t="s">
        <v>1430</v>
      </c>
      <c r="M1330" s="5"/>
      <c r="N1330" s="5" t="s">
        <v>10</v>
      </c>
      <c r="O1330" s="5" t="s">
        <v>10</v>
      </c>
      <c r="P1330" s="1" t="s">
        <v>5192</v>
      </c>
      <c r="Q1330" s="1" t="s">
        <v>5193</v>
      </c>
      <c r="R1330" s="2" t="s">
        <v>667</v>
      </c>
      <c r="S1330" s="1" t="s">
        <v>6244</v>
      </c>
      <c r="T1330" s="1">
        <v>18211</v>
      </c>
      <c r="U1330" s="1">
        <v>5837</v>
      </c>
      <c r="V1330" s="1">
        <v>5837</v>
      </c>
      <c r="AH1330" s="1">
        <v>12374</v>
      </c>
      <c r="AI1330" s="1">
        <v>11360</v>
      </c>
      <c r="AK1330" s="1">
        <v>1014</v>
      </c>
    </row>
    <row r="1331" spans="1:37" x14ac:dyDescent="0.2">
      <c r="A1331" s="1" t="s">
        <v>1433</v>
      </c>
      <c r="B1331" s="1">
        <v>20385826</v>
      </c>
      <c r="C1331" s="1" t="s">
        <v>7420</v>
      </c>
      <c r="E1331" s="21">
        <v>17</v>
      </c>
      <c r="G1331" s="1" t="s">
        <v>6735</v>
      </c>
      <c r="H1331" s="1" t="s">
        <v>7143</v>
      </c>
      <c r="I1331" s="5">
        <v>40280</v>
      </c>
      <c r="J1331" s="18" t="s">
        <v>11</v>
      </c>
      <c r="K1331" s="1" t="s">
        <v>210</v>
      </c>
      <c r="L1331" s="1" t="s">
        <v>1432</v>
      </c>
      <c r="M1331" s="5"/>
      <c r="N1331" s="5" t="s">
        <v>10</v>
      </c>
      <c r="O1331" s="5" t="s">
        <v>10</v>
      </c>
      <c r="P1331" s="1" t="s">
        <v>5428</v>
      </c>
      <c r="Q1331" s="1" t="s">
        <v>6194</v>
      </c>
      <c r="R1331" s="2" t="s">
        <v>4284</v>
      </c>
      <c r="S1331" s="1" t="s">
        <v>6243</v>
      </c>
      <c r="T1331" s="1">
        <v>12711</v>
      </c>
      <c r="U1331" s="1">
        <v>2688</v>
      </c>
      <c r="V1331" s="1">
        <v>2688</v>
      </c>
      <c r="AH1331" s="1">
        <v>10023</v>
      </c>
      <c r="AI1331" s="1">
        <v>10023</v>
      </c>
    </row>
    <row r="1332" spans="1:37" x14ac:dyDescent="0.2">
      <c r="A1332" s="1" t="s">
        <v>1435</v>
      </c>
      <c r="B1332" s="1">
        <v>20386566</v>
      </c>
      <c r="C1332" s="1" t="s">
        <v>7420</v>
      </c>
      <c r="E1332" s="21">
        <v>39</v>
      </c>
      <c r="G1332" s="1" t="s">
        <v>112</v>
      </c>
      <c r="H1332" s="1" t="s">
        <v>7145</v>
      </c>
      <c r="I1332" s="5">
        <v>40281</v>
      </c>
      <c r="J1332" s="18" t="s">
        <v>11</v>
      </c>
      <c r="K1332" s="1" t="s">
        <v>71</v>
      </c>
      <c r="L1332" s="1" t="s">
        <v>1434</v>
      </c>
      <c r="M1332" s="5"/>
      <c r="N1332" s="5" t="s">
        <v>10</v>
      </c>
      <c r="O1332" s="5" t="s">
        <v>10</v>
      </c>
      <c r="P1332" s="1" t="s">
        <v>3946</v>
      </c>
      <c r="Q1332" s="1" t="s">
        <v>3947</v>
      </c>
      <c r="R1332" s="2" t="s">
        <v>4638</v>
      </c>
      <c r="S1332" s="1" t="s">
        <v>6242</v>
      </c>
      <c r="T1332" s="1">
        <v>3409</v>
      </c>
      <c r="U1332" s="1">
        <v>2000</v>
      </c>
      <c r="X1332" s="1">
        <v>2000</v>
      </c>
      <c r="AH1332" s="1">
        <v>1409</v>
      </c>
      <c r="AK1332" s="1">
        <v>1409</v>
      </c>
    </row>
    <row r="1333" spans="1:37" x14ac:dyDescent="0.2">
      <c r="A1333" s="1" t="s">
        <v>1441</v>
      </c>
      <c r="B1333" s="1">
        <v>20395239</v>
      </c>
      <c r="C1333" s="1" t="s">
        <v>7420</v>
      </c>
      <c r="E1333" s="21">
        <v>80</v>
      </c>
      <c r="G1333" s="1" t="s">
        <v>1442</v>
      </c>
      <c r="H1333" s="1" t="s">
        <v>7334</v>
      </c>
      <c r="I1333" s="5">
        <v>40283</v>
      </c>
      <c r="J1333" s="18" t="s">
        <v>11</v>
      </c>
      <c r="K1333" s="1" t="s">
        <v>103</v>
      </c>
      <c r="L1333" s="1" t="s">
        <v>1439</v>
      </c>
      <c r="M1333" s="5"/>
      <c r="N1333" s="5" t="s">
        <v>10</v>
      </c>
      <c r="O1333" s="5" t="s">
        <v>10</v>
      </c>
      <c r="P1333" s="1" t="s">
        <v>3988</v>
      </c>
      <c r="Q1333" s="1" t="s">
        <v>33</v>
      </c>
      <c r="R1333" s="2" t="s">
        <v>1440</v>
      </c>
      <c r="S1333" s="1" t="s">
        <v>6243</v>
      </c>
      <c r="T1333" s="1">
        <v>2216</v>
      </c>
      <c r="U1333" s="1">
        <v>2216</v>
      </c>
      <c r="V1333" s="1">
        <v>2216</v>
      </c>
    </row>
    <row r="1334" spans="1:37" x14ac:dyDescent="0.2">
      <c r="A1334" s="1" t="s">
        <v>45</v>
      </c>
      <c r="B1334" s="1">
        <v>20397748</v>
      </c>
      <c r="C1334" s="1" t="s">
        <v>7420</v>
      </c>
      <c r="E1334" s="21">
        <v>169</v>
      </c>
      <c r="G1334" s="1" t="s">
        <v>2656</v>
      </c>
      <c r="H1334" s="1" t="s">
        <v>7272</v>
      </c>
      <c r="I1334" s="5">
        <v>40269</v>
      </c>
      <c r="J1334" s="18" t="s">
        <v>11</v>
      </c>
      <c r="K1334" s="1" t="s">
        <v>1408</v>
      </c>
      <c r="L1334" s="1" t="s">
        <v>1409</v>
      </c>
      <c r="M1334" s="5"/>
      <c r="N1334" s="5" t="s">
        <v>10</v>
      </c>
      <c r="O1334" s="5" t="s">
        <v>10</v>
      </c>
      <c r="P1334" s="1" t="s">
        <v>5500</v>
      </c>
      <c r="Q1334" s="1" t="s">
        <v>33</v>
      </c>
      <c r="R1334" s="2" t="s">
        <v>4897</v>
      </c>
      <c r="S1334" s="1" t="s">
        <v>6243</v>
      </c>
      <c r="T1334" s="1">
        <v>11536</v>
      </c>
      <c r="U1334" s="1">
        <v>11536</v>
      </c>
      <c r="V1334" s="1">
        <v>11536</v>
      </c>
    </row>
    <row r="1335" spans="1:37" x14ac:dyDescent="0.2">
      <c r="A1335" s="1" t="s">
        <v>2647</v>
      </c>
      <c r="B1335" s="1">
        <v>20398887</v>
      </c>
      <c r="C1335" s="1" t="s">
        <v>7420</v>
      </c>
      <c r="E1335" s="21">
        <v>34</v>
      </c>
      <c r="G1335" s="1" t="s">
        <v>6922</v>
      </c>
      <c r="H1335" s="1" t="s">
        <v>7273</v>
      </c>
      <c r="I1335" s="5">
        <v>40283</v>
      </c>
      <c r="J1335" s="18" t="s">
        <v>10</v>
      </c>
      <c r="K1335" s="1" t="s">
        <v>16</v>
      </c>
      <c r="L1335" s="1" t="s">
        <v>2872</v>
      </c>
      <c r="N1335" s="5" t="s">
        <v>10</v>
      </c>
      <c r="O1335" s="5" t="s">
        <v>10</v>
      </c>
      <c r="P1335" s="1" t="s">
        <v>3387</v>
      </c>
      <c r="Q1335" s="1" t="s">
        <v>3388</v>
      </c>
      <c r="R1335" s="2" t="s">
        <v>5766</v>
      </c>
      <c r="S1335" s="1" t="s">
        <v>6243</v>
      </c>
      <c r="T1335" s="1">
        <v>9409</v>
      </c>
      <c r="U1335" s="1">
        <v>4321</v>
      </c>
      <c r="V1335" s="1">
        <v>4321</v>
      </c>
      <c r="AH1335" s="1">
        <v>5088</v>
      </c>
      <c r="AI1335" s="1">
        <v>5088</v>
      </c>
    </row>
    <row r="1336" spans="1:37" x14ac:dyDescent="0.2">
      <c r="A1336" s="1" t="s">
        <v>1445</v>
      </c>
      <c r="B1336" s="1">
        <v>20400458</v>
      </c>
      <c r="C1336" s="1" t="s">
        <v>7420</v>
      </c>
      <c r="E1336" s="21">
        <v>40</v>
      </c>
      <c r="G1336" s="1" t="s">
        <v>197</v>
      </c>
      <c r="H1336" s="1" t="s">
        <v>7270</v>
      </c>
      <c r="I1336" s="5">
        <v>40284</v>
      </c>
      <c r="J1336" s="18" t="s">
        <v>11</v>
      </c>
      <c r="K1336" s="1" t="s">
        <v>103</v>
      </c>
      <c r="L1336" s="1" t="s">
        <v>1443</v>
      </c>
      <c r="M1336" s="5"/>
      <c r="N1336" s="5" t="s">
        <v>10</v>
      </c>
      <c r="O1336" s="5" t="s">
        <v>10</v>
      </c>
      <c r="P1336" s="1" t="s">
        <v>4104</v>
      </c>
      <c r="Q1336" s="1" t="s">
        <v>4269</v>
      </c>
      <c r="R1336" s="2" t="s">
        <v>1444</v>
      </c>
      <c r="S1336" s="1" t="s">
        <v>6440</v>
      </c>
      <c r="T1336" s="1">
        <v>6106</v>
      </c>
      <c r="U1336" s="1">
        <v>1931</v>
      </c>
      <c r="W1336" s="1">
        <v>1931</v>
      </c>
      <c r="AH1336" s="1">
        <v>4175</v>
      </c>
      <c r="AJ1336" s="1">
        <v>4175</v>
      </c>
    </row>
    <row r="1337" spans="1:37" x14ac:dyDescent="0.2">
      <c r="A1337" s="1" t="s">
        <v>1448</v>
      </c>
      <c r="B1337" s="1">
        <v>20400778</v>
      </c>
      <c r="C1337" s="1" t="s">
        <v>7420</v>
      </c>
      <c r="E1337" s="21">
        <v>19</v>
      </c>
      <c r="G1337" s="1" t="s">
        <v>1449</v>
      </c>
      <c r="H1337" s="1" t="s">
        <v>7177</v>
      </c>
      <c r="I1337" s="5">
        <v>40285</v>
      </c>
      <c r="J1337" s="18" t="s">
        <v>11</v>
      </c>
      <c r="K1337" s="1" t="s">
        <v>551</v>
      </c>
      <c r="L1337" s="1" t="s">
        <v>1446</v>
      </c>
      <c r="M1337" s="5"/>
      <c r="N1337" s="5" t="s">
        <v>10</v>
      </c>
      <c r="O1337" s="5" t="s">
        <v>10</v>
      </c>
      <c r="P1337" s="1" t="s">
        <v>5461</v>
      </c>
      <c r="Q1337" s="1" t="s">
        <v>33</v>
      </c>
      <c r="R1337" s="2" t="s">
        <v>1447</v>
      </c>
      <c r="S1337" s="1" t="s">
        <v>6244</v>
      </c>
      <c r="T1337" s="1">
        <v>2992</v>
      </c>
      <c r="U1337" s="1">
        <v>2992</v>
      </c>
      <c r="V1337" s="1">
        <v>2526</v>
      </c>
      <c r="W1337" s="1">
        <v>466</v>
      </c>
    </row>
    <row r="1338" spans="1:37" x14ac:dyDescent="0.2">
      <c r="A1338" s="1" t="s">
        <v>1451</v>
      </c>
      <c r="B1338" s="1">
        <v>20410501</v>
      </c>
      <c r="C1338" s="1" t="s">
        <v>7420</v>
      </c>
      <c r="E1338" s="21">
        <v>153</v>
      </c>
      <c r="G1338" s="1" t="s">
        <v>1162</v>
      </c>
      <c r="H1338" s="1" t="s">
        <v>137</v>
      </c>
      <c r="I1338" s="5">
        <v>40289</v>
      </c>
      <c r="J1338" s="18" t="s">
        <v>11</v>
      </c>
      <c r="K1338" s="1" t="s">
        <v>157</v>
      </c>
      <c r="L1338" s="1" t="s">
        <v>1450</v>
      </c>
      <c r="M1338" s="5"/>
      <c r="N1338" s="5" t="s">
        <v>10</v>
      </c>
      <c r="O1338" s="5" t="s">
        <v>10</v>
      </c>
      <c r="P1338" s="1" t="s">
        <v>5070</v>
      </c>
      <c r="Q1338" s="1" t="s">
        <v>5071</v>
      </c>
      <c r="R1338" s="2" t="s">
        <v>4966</v>
      </c>
      <c r="S1338" s="1" t="s">
        <v>6243</v>
      </c>
      <c r="T1338" s="1">
        <v>7656</v>
      </c>
      <c r="U1338" s="1">
        <v>4021</v>
      </c>
      <c r="V1338" s="1">
        <v>4021</v>
      </c>
      <c r="AH1338" s="1">
        <v>3635</v>
      </c>
      <c r="AI1338" s="1">
        <v>3635</v>
      </c>
    </row>
    <row r="1339" spans="1:37" x14ac:dyDescent="0.2">
      <c r="A1339" s="1" t="s">
        <v>1455</v>
      </c>
      <c r="B1339" s="1">
        <v>20418485</v>
      </c>
      <c r="C1339" s="1" t="s">
        <v>7420</v>
      </c>
      <c r="E1339" s="21">
        <v>10</v>
      </c>
      <c r="G1339" s="1" t="s">
        <v>6739</v>
      </c>
      <c r="H1339" s="1" t="s">
        <v>7219</v>
      </c>
      <c r="I1339" s="5">
        <v>40291</v>
      </c>
      <c r="J1339" s="18" t="s">
        <v>11</v>
      </c>
      <c r="K1339" s="1" t="s">
        <v>103</v>
      </c>
      <c r="L1339" s="1" t="s">
        <v>1454</v>
      </c>
      <c r="M1339" s="5"/>
      <c r="N1339" s="5" t="s">
        <v>10</v>
      </c>
      <c r="O1339" s="5" t="s">
        <v>10</v>
      </c>
      <c r="P1339" s="1" t="s">
        <v>5278</v>
      </c>
      <c r="Q1339" s="1" t="s">
        <v>5279</v>
      </c>
      <c r="R1339" s="2" t="s">
        <v>4372</v>
      </c>
      <c r="S1339" s="1" t="s">
        <v>6243</v>
      </c>
      <c r="T1339" s="1">
        <v>6722</v>
      </c>
      <c r="U1339" s="1">
        <v>4501</v>
      </c>
      <c r="V1339" s="1">
        <v>4501</v>
      </c>
      <c r="AH1339" s="1">
        <v>2221</v>
      </c>
      <c r="AI1339" s="1">
        <v>2221</v>
      </c>
    </row>
    <row r="1340" spans="1:37" x14ac:dyDescent="0.2">
      <c r="A1340" s="1" t="s">
        <v>1335</v>
      </c>
      <c r="B1340" s="1">
        <v>20418489</v>
      </c>
      <c r="C1340" s="1" t="s">
        <v>7420</v>
      </c>
      <c r="E1340" s="21">
        <v>13</v>
      </c>
      <c r="G1340" s="1" t="s">
        <v>61</v>
      </c>
      <c r="H1340" s="1" t="s">
        <v>7396</v>
      </c>
      <c r="I1340" s="5">
        <v>40291</v>
      </c>
      <c r="J1340" s="18" t="s">
        <v>11</v>
      </c>
      <c r="K1340" s="1" t="s">
        <v>103</v>
      </c>
      <c r="L1340" s="1" t="s">
        <v>1456</v>
      </c>
      <c r="M1340" s="5"/>
      <c r="N1340" s="5" t="s">
        <v>10</v>
      </c>
      <c r="O1340" s="5" t="s">
        <v>10</v>
      </c>
      <c r="P1340" s="1" t="s">
        <v>5179</v>
      </c>
      <c r="Q1340" s="1" t="s">
        <v>5591</v>
      </c>
      <c r="R1340" s="2" t="s">
        <v>4354</v>
      </c>
      <c r="S1340" s="1" t="s">
        <v>6243</v>
      </c>
      <c r="T1340" s="1">
        <v>90248</v>
      </c>
      <c r="U1340" s="1">
        <v>5643</v>
      </c>
      <c r="V1340" s="1">
        <v>5643</v>
      </c>
      <c r="AH1340" s="1">
        <v>84605</v>
      </c>
      <c r="AI1340" s="1">
        <v>84605</v>
      </c>
    </row>
    <row r="1341" spans="1:37" x14ac:dyDescent="0.2">
      <c r="A1341" s="1" t="s">
        <v>1461</v>
      </c>
      <c r="B1341" s="1">
        <v>20418888</v>
      </c>
      <c r="C1341" s="1" t="s">
        <v>7420</v>
      </c>
      <c r="E1341" s="21">
        <v>930</v>
      </c>
      <c r="G1341" s="1" t="s">
        <v>2569</v>
      </c>
      <c r="H1341" s="1" t="s">
        <v>7156</v>
      </c>
      <c r="I1341" s="5">
        <v>40293</v>
      </c>
      <c r="J1341" s="18" t="s">
        <v>11</v>
      </c>
      <c r="K1341" s="1" t="s">
        <v>28</v>
      </c>
      <c r="L1341" s="1" t="s">
        <v>1460</v>
      </c>
      <c r="M1341" s="5"/>
      <c r="N1341" s="5" t="s">
        <v>10</v>
      </c>
      <c r="O1341" s="5" t="s">
        <v>10</v>
      </c>
      <c r="P1341" s="1" t="s">
        <v>5246</v>
      </c>
      <c r="Q1341" s="1" t="s">
        <v>5537</v>
      </c>
      <c r="R1341" s="2" t="s">
        <v>868</v>
      </c>
      <c r="S1341" s="1" t="s">
        <v>6243</v>
      </c>
      <c r="T1341" s="1">
        <v>85997</v>
      </c>
      <c r="U1341" s="1">
        <v>31266</v>
      </c>
      <c r="V1341" s="1">
        <v>31266</v>
      </c>
      <c r="AH1341" s="1">
        <v>54731</v>
      </c>
      <c r="AI1341" s="1">
        <v>54731</v>
      </c>
    </row>
    <row r="1342" spans="1:37" x14ac:dyDescent="0.2">
      <c r="A1342" s="1" t="s">
        <v>45</v>
      </c>
      <c r="B1342" s="1">
        <v>20418889</v>
      </c>
      <c r="C1342" s="1" t="s">
        <v>7420</v>
      </c>
      <c r="E1342" s="21">
        <v>510</v>
      </c>
      <c r="G1342" s="1" t="s">
        <v>2569</v>
      </c>
      <c r="H1342" s="1" t="s">
        <v>7156</v>
      </c>
      <c r="I1342" s="5">
        <v>40293</v>
      </c>
      <c r="J1342" s="18" t="s">
        <v>11</v>
      </c>
      <c r="K1342" s="1" t="s">
        <v>28</v>
      </c>
      <c r="L1342" s="1" t="s">
        <v>1462</v>
      </c>
      <c r="M1342" s="5"/>
      <c r="N1342" s="5" t="s">
        <v>10</v>
      </c>
      <c r="O1342" s="5" t="s">
        <v>10</v>
      </c>
      <c r="P1342" s="1" t="s">
        <v>5550</v>
      </c>
      <c r="Q1342" s="1" t="s">
        <v>5551</v>
      </c>
      <c r="R1342" s="2" t="s">
        <v>1463</v>
      </c>
      <c r="S1342" s="1" t="s">
        <v>6243</v>
      </c>
      <c r="T1342" s="1">
        <v>161666</v>
      </c>
      <c r="U1342" s="1">
        <v>41150</v>
      </c>
      <c r="V1342" s="1">
        <v>41150</v>
      </c>
      <c r="AH1342" s="1">
        <v>120516</v>
      </c>
      <c r="AI1342" s="1">
        <v>120516</v>
      </c>
    </row>
    <row r="1343" spans="1:37" x14ac:dyDescent="0.2">
      <c r="A1343" s="1" t="s">
        <v>1457</v>
      </c>
      <c r="B1343" s="1">
        <v>20418890</v>
      </c>
      <c r="C1343" s="1" t="s">
        <v>7420</v>
      </c>
      <c r="E1343" s="21">
        <v>18</v>
      </c>
      <c r="G1343" s="1" t="s">
        <v>2569</v>
      </c>
      <c r="H1343" s="1" t="s">
        <v>7156</v>
      </c>
      <c r="I1343" s="5">
        <v>40293</v>
      </c>
      <c r="J1343" s="18" t="s">
        <v>11</v>
      </c>
      <c r="K1343" s="1" t="s">
        <v>28</v>
      </c>
      <c r="L1343" s="1" t="s">
        <v>1458</v>
      </c>
      <c r="M1343" s="5"/>
      <c r="N1343" s="5" t="s">
        <v>10</v>
      </c>
      <c r="O1343" s="5" t="s">
        <v>10</v>
      </c>
      <c r="P1343" s="1" t="s">
        <v>5453</v>
      </c>
      <c r="Q1343" s="1" t="s">
        <v>6338</v>
      </c>
      <c r="R1343" s="2" t="s">
        <v>1459</v>
      </c>
      <c r="S1343" s="1" t="s">
        <v>6243</v>
      </c>
      <c r="T1343" s="1">
        <v>143023</v>
      </c>
      <c r="U1343" s="1">
        <v>74035</v>
      </c>
      <c r="V1343" s="1">
        <v>74035</v>
      </c>
      <c r="AH1343" s="1">
        <v>68988</v>
      </c>
      <c r="AI1343" s="1">
        <v>68988</v>
      </c>
    </row>
    <row r="1344" spans="1:37" x14ac:dyDescent="0.2">
      <c r="A1344" s="1" t="s">
        <v>1467</v>
      </c>
      <c r="B1344" s="1">
        <v>20421487</v>
      </c>
      <c r="C1344" s="1" t="s">
        <v>7420</v>
      </c>
      <c r="E1344" s="21">
        <v>19</v>
      </c>
      <c r="G1344" s="1" t="s">
        <v>6813</v>
      </c>
      <c r="H1344" s="1" t="s">
        <v>7237</v>
      </c>
      <c r="I1344" s="5">
        <v>40294</v>
      </c>
      <c r="J1344" s="18" t="s">
        <v>11</v>
      </c>
      <c r="K1344" s="1" t="s">
        <v>210</v>
      </c>
      <c r="L1344" s="1" t="s">
        <v>1464</v>
      </c>
      <c r="M1344" s="5"/>
      <c r="N1344" s="5" t="s">
        <v>10</v>
      </c>
      <c r="O1344" s="5" t="s">
        <v>10</v>
      </c>
      <c r="P1344" s="1" t="s">
        <v>1465</v>
      </c>
      <c r="Q1344" s="1" t="s">
        <v>1466</v>
      </c>
      <c r="R1344" s="2" t="s">
        <v>4581</v>
      </c>
      <c r="S1344" s="1" t="s">
        <v>6244</v>
      </c>
      <c r="T1344" s="1">
        <v>507</v>
      </c>
      <c r="U1344" s="1">
        <v>322</v>
      </c>
      <c r="AA1344" s="1">
        <v>322</v>
      </c>
      <c r="AH1344" s="1">
        <v>185</v>
      </c>
      <c r="AI1344" s="1">
        <v>185</v>
      </c>
    </row>
    <row r="1345" spans="1:39" x14ac:dyDescent="0.2">
      <c r="A1345" s="1" t="s">
        <v>251</v>
      </c>
      <c r="B1345" s="1">
        <v>20421499</v>
      </c>
      <c r="C1345" s="1" t="s">
        <v>7420</v>
      </c>
      <c r="E1345" s="21">
        <v>115</v>
      </c>
      <c r="G1345" s="1" t="s">
        <v>827</v>
      </c>
      <c r="H1345" s="1" t="s">
        <v>7324</v>
      </c>
      <c r="I1345" s="5">
        <v>40294</v>
      </c>
      <c r="J1345" s="18" t="s">
        <v>11</v>
      </c>
      <c r="K1345" s="1" t="s">
        <v>210</v>
      </c>
      <c r="L1345" s="1" t="s">
        <v>1468</v>
      </c>
      <c r="M1345" s="5"/>
      <c r="N1345" s="5" t="s">
        <v>11</v>
      </c>
      <c r="O1345" s="5" t="s">
        <v>10</v>
      </c>
      <c r="P1345" s="1" t="s">
        <v>5235</v>
      </c>
      <c r="Q1345" s="1" t="s">
        <v>5636</v>
      </c>
      <c r="R1345" s="2" t="s">
        <v>868</v>
      </c>
      <c r="S1345" s="1" t="s">
        <v>6244</v>
      </c>
      <c r="T1345" s="1">
        <v>8483</v>
      </c>
      <c r="U1345" s="1">
        <v>3417</v>
      </c>
      <c r="V1345" s="1">
        <v>3417</v>
      </c>
      <c r="AH1345" s="1">
        <v>5066</v>
      </c>
      <c r="AI1345" s="1">
        <v>4469</v>
      </c>
      <c r="AJ1345" s="1">
        <v>597</v>
      </c>
    </row>
    <row r="1346" spans="1:39" x14ac:dyDescent="0.2">
      <c r="A1346" s="1" t="s">
        <v>1453</v>
      </c>
      <c r="B1346" s="1">
        <v>20421936</v>
      </c>
      <c r="C1346" s="1" t="s">
        <v>7420</v>
      </c>
      <c r="E1346" s="21">
        <v>86</v>
      </c>
      <c r="G1346" s="1" t="s">
        <v>2567</v>
      </c>
      <c r="H1346" s="1" t="s">
        <v>7302</v>
      </c>
      <c r="I1346" s="5">
        <v>40290</v>
      </c>
      <c r="J1346" s="18" t="s">
        <v>11</v>
      </c>
      <c r="K1346" s="1" t="s">
        <v>65</v>
      </c>
      <c r="L1346" s="1" t="s">
        <v>1452</v>
      </c>
      <c r="M1346" s="5"/>
      <c r="N1346" s="5" t="s">
        <v>10</v>
      </c>
      <c r="O1346" s="5" t="s">
        <v>10</v>
      </c>
      <c r="P1346" s="1" t="s">
        <v>3969</v>
      </c>
      <c r="Q1346" s="1" t="s">
        <v>5052</v>
      </c>
      <c r="R1346" s="2" t="s">
        <v>4642</v>
      </c>
      <c r="S1346" s="1" t="s">
        <v>6243</v>
      </c>
      <c r="T1346" s="1">
        <v>10856</v>
      </c>
      <c r="U1346" s="1">
        <v>2258</v>
      </c>
      <c r="V1346" s="1">
        <v>2258</v>
      </c>
      <c r="AH1346" s="1">
        <v>8598</v>
      </c>
      <c r="AI1346" s="1">
        <v>8598</v>
      </c>
    </row>
    <row r="1347" spans="1:39" x14ac:dyDescent="0.2">
      <c r="A1347" s="1" t="s">
        <v>1473</v>
      </c>
      <c r="B1347" s="1">
        <v>20436469</v>
      </c>
      <c r="C1347" s="1" t="s">
        <v>7420</v>
      </c>
      <c r="E1347" s="21">
        <v>462</v>
      </c>
      <c r="G1347" s="1" t="s">
        <v>1474</v>
      </c>
      <c r="H1347" s="1" t="s">
        <v>6797</v>
      </c>
      <c r="I1347" s="5">
        <v>40300</v>
      </c>
      <c r="J1347" s="18" t="s">
        <v>11</v>
      </c>
      <c r="K1347" s="1" t="s">
        <v>28</v>
      </c>
      <c r="L1347" s="1" t="s">
        <v>1472</v>
      </c>
      <c r="M1347" s="5"/>
      <c r="N1347" s="5" t="s">
        <v>10</v>
      </c>
      <c r="O1347" s="5" t="s">
        <v>10</v>
      </c>
      <c r="P1347" s="1" t="s">
        <v>3875</v>
      </c>
      <c r="Q1347" s="1" t="s">
        <v>5529</v>
      </c>
      <c r="R1347" s="2" t="s">
        <v>4937</v>
      </c>
      <c r="S1347" s="1" t="s">
        <v>6244</v>
      </c>
      <c r="T1347" s="1">
        <v>13704</v>
      </c>
      <c r="U1347" s="1">
        <v>5589</v>
      </c>
      <c r="V1347" s="1">
        <v>2475</v>
      </c>
      <c r="X1347" s="1">
        <v>3114</v>
      </c>
      <c r="AH1347" s="1">
        <v>8115</v>
      </c>
      <c r="AI1347" s="1">
        <v>3830</v>
      </c>
      <c r="AK1347" s="1">
        <v>2194</v>
      </c>
      <c r="AL1347" s="1">
        <v>322</v>
      </c>
      <c r="AM1347" s="1">
        <v>1769</v>
      </c>
    </row>
    <row r="1348" spans="1:39" x14ac:dyDescent="0.2">
      <c r="A1348" s="1" t="s">
        <v>1476</v>
      </c>
      <c r="B1348" s="1">
        <v>20436471</v>
      </c>
      <c r="C1348" s="1" t="s">
        <v>7420</v>
      </c>
      <c r="E1348" s="21">
        <v>78</v>
      </c>
      <c r="G1348" s="1" t="s">
        <v>1477</v>
      </c>
      <c r="H1348" s="1" t="s">
        <v>1478</v>
      </c>
      <c r="I1348" s="5">
        <v>40300</v>
      </c>
      <c r="J1348" s="18" t="s">
        <v>11</v>
      </c>
      <c r="K1348" s="1" t="s">
        <v>28</v>
      </c>
      <c r="L1348" s="1" t="s">
        <v>1475</v>
      </c>
      <c r="M1348" s="5"/>
      <c r="N1348" s="5" t="s">
        <v>10</v>
      </c>
      <c r="O1348" s="5" t="s">
        <v>10</v>
      </c>
      <c r="P1348" s="1" t="s">
        <v>5364</v>
      </c>
      <c r="Q1348" s="1" t="s">
        <v>5365</v>
      </c>
      <c r="R1348" s="2" t="s">
        <v>4491</v>
      </c>
      <c r="S1348" s="1" t="s">
        <v>6243</v>
      </c>
      <c r="T1348" s="1">
        <v>2694</v>
      </c>
      <c r="U1348" s="1">
        <v>1693</v>
      </c>
      <c r="V1348" s="1">
        <v>1693</v>
      </c>
      <c r="AH1348" s="1">
        <v>1001</v>
      </c>
      <c r="AI1348" s="1">
        <v>1001</v>
      </c>
    </row>
    <row r="1349" spans="1:39" x14ac:dyDescent="0.2">
      <c r="A1349" s="1" t="s">
        <v>1470</v>
      </c>
      <c r="B1349" s="1">
        <v>20442857</v>
      </c>
      <c r="C1349" s="1" t="s">
        <v>7420</v>
      </c>
      <c r="E1349" s="21">
        <v>37229</v>
      </c>
      <c r="G1349" s="1" t="s">
        <v>1471</v>
      </c>
      <c r="H1349" s="1" t="s">
        <v>7219</v>
      </c>
      <c r="I1349" s="5">
        <v>40297</v>
      </c>
      <c r="J1349" s="18" t="s">
        <v>11</v>
      </c>
      <c r="K1349" s="1" t="s">
        <v>65</v>
      </c>
      <c r="L1349" s="1" t="s">
        <v>1469</v>
      </c>
      <c r="M1349" s="5"/>
      <c r="N1349" s="5" t="s">
        <v>10</v>
      </c>
      <c r="O1349" s="5" t="s">
        <v>10</v>
      </c>
      <c r="P1349" s="1" t="s">
        <v>6230</v>
      </c>
      <c r="Q1349" s="1" t="s">
        <v>33</v>
      </c>
      <c r="R1349" s="2" t="s">
        <v>5023</v>
      </c>
      <c r="S1349" s="1" t="s">
        <v>6243</v>
      </c>
      <c r="T1349" s="1">
        <v>6668</v>
      </c>
      <c r="U1349" s="1">
        <v>6668</v>
      </c>
      <c r="V1349" s="1">
        <v>6668</v>
      </c>
    </row>
    <row r="1350" spans="1:39" x14ac:dyDescent="0.2">
      <c r="A1350" s="1" t="s">
        <v>1374</v>
      </c>
      <c r="B1350" s="1">
        <v>20445134</v>
      </c>
      <c r="C1350" s="1" t="s">
        <v>7420</v>
      </c>
      <c r="E1350" s="21">
        <v>30</v>
      </c>
      <c r="G1350" s="1" t="s">
        <v>1480</v>
      </c>
      <c r="H1350" s="1" t="s">
        <v>7178</v>
      </c>
      <c r="I1350" s="5">
        <v>40303</v>
      </c>
      <c r="J1350" s="18" t="s">
        <v>11</v>
      </c>
      <c r="K1350" s="1" t="s">
        <v>551</v>
      </c>
      <c r="L1350" s="1" t="s">
        <v>1479</v>
      </c>
      <c r="M1350" s="5"/>
      <c r="N1350" s="5" t="s">
        <v>10</v>
      </c>
      <c r="O1350" s="5" t="s">
        <v>10</v>
      </c>
      <c r="P1350" s="1" t="s">
        <v>5464</v>
      </c>
      <c r="Q1350" s="1" t="s">
        <v>33</v>
      </c>
      <c r="R1350" s="2" t="s">
        <v>4829</v>
      </c>
      <c r="S1350" s="1" t="s">
        <v>6244</v>
      </c>
      <c r="T1350" s="1">
        <v>23821</v>
      </c>
      <c r="U1350" s="1">
        <v>23821</v>
      </c>
      <c r="V1350" s="1">
        <v>20926</v>
      </c>
      <c r="W1350" s="1">
        <v>2895</v>
      </c>
    </row>
    <row r="1351" spans="1:39" x14ac:dyDescent="0.2">
      <c r="A1351" s="1" t="s">
        <v>1484</v>
      </c>
      <c r="B1351" s="1">
        <v>20451256</v>
      </c>
      <c r="C1351" s="1" t="s">
        <v>7420</v>
      </c>
      <c r="E1351" s="21">
        <v>3007</v>
      </c>
      <c r="G1351" s="1" t="s">
        <v>112</v>
      </c>
      <c r="H1351" s="1" t="s">
        <v>7145</v>
      </c>
      <c r="I1351" s="5">
        <v>40303</v>
      </c>
      <c r="J1351" s="18" t="s">
        <v>11</v>
      </c>
      <c r="K1351" s="1" t="s">
        <v>1481</v>
      </c>
      <c r="L1351" s="1" t="s">
        <v>1482</v>
      </c>
      <c r="M1351" s="5"/>
      <c r="N1351" s="5" t="s">
        <v>10</v>
      </c>
      <c r="O1351" s="5" t="s">
        <v>10</v>
      </c>
      <c r="P1351" s="1" t="s">
        <v>1483</v>
      </c>
      <c r="Q1351" s="1" t="s">
        <v>4996</v>
      </c>
      <c r="R1351" s="2" t="s">
        <v>4997</v>
      </c>
      <c r="S1351" s="1" t="s">
        <v>6243</v>
      </c>
      <c r="T1351" s="1">
        <v>11453</v>
      </c>
      <c r="U1351" s="1">
        <v>760</v>
      </c>
      <c r="V1351" s="1">
        <v>760</v>
      </c>
      <c r="AH1351" s="1">
        <v>10693</v>
      </c>
      <c r="AI1351" s="1">
        <v>10693</v>
      </c>
    </row>
    <row r="1352" spans="1:39" x14ac:dyDescent="0.2">
      <c r="A1352" s="1" t="s">
        <v>1487</v>
      </c>
      <c r="B1352" s="1">
        <v>20452100</v>
      </c>
      <c r="C1352" s="1" t="s">
        <v>7420</v>
      </c>
      <c r="E1352" s="21">
        <v>16</v>
      </c>
      <c r="G1352" s="1" t="s">
        <v>6841</v>
      </c>
      <c r="H1352" s="1" t="s">
        <v>7298</v>
      </c>
      <c r="I1352" s="5">
        <v>40304</v>
      </c>
      <c r="J1352" s="18" t="s">
        <v>11</v>
      </c>
      <c r="K1352" s="1" t="s">
        <v>1485</v>
      </c>
      <c r="L1352" s="1" t="s">
        <v>1486</v>
      </c>
      <c r="M1352" s="5"/>
      <c r="N1352" s="5" t="s">
        <v>10</v>
      </c>
      <c r="O1352" s="5" t="s">
        <v>10</v>
      </c>
      <c r="P1352" s="1" t="s">
        <v>6223</v>
      </c>
      <c r="Q1352" s="1" t="s">
        <v>33</v>
      </c>
      <c r="R1352" s="2" t="s">
        <v>4223</v>
      </c>
      <c r="S1352" s="1" t="s">
        <v>6243</v>
      </c>
      <c r="T1352" s="1">
        <v>299</v>
      </c>
      <c r="U1352" s="1">
        <v>299</v>
      </c>
      <c r="V1352" s="1">
        <v>299</v>
      </c>
    </row>
    <row r="1353" spans="1:39" x14ac:dyDescent="0.2">
      <c r="A1353" s="1" t="s">
        <v>1489</v>
      </c>
      <c r="B1353" s="1">
        <v>20453838</v>
      </c>
      <c r="C1353" s="1" t="s">
        <v>7420</v>
      </c>
      <c r="E1353" s="21">
        <v>85</v>
      </c>
      <c r="G1353" s="1" t="s">
        <v>119</v>
      </c>
      <c r="H1353" s="1" t="s">
        <v>6675</v>
      </c>
      <c r="I1353" s="5">
        <v>40307</v>
      </c>
      <c r="J1353" s="18" t="s">
        <v>11</v>
      </c>
      <c r="K1353" s="1" t="s">
        <v>28</v>
      </c>
      <c r="L1353" s="1" t="s">
        <v>1488</v>
      </c>
      <c r="M1353" s="5"/>
      <c r="N1353" s="5" t="s">
        <v>11</v>
      </c>
      <c r="O1353" s="5" t="s">
        <v>11</v>
      </c>
      <c r="P1353" s="1" t="s">
        <v>4455</v>
      </c>
      <c r="Q1353" s="1" t="s">
        <v>4224</v>
      </c>
      <c r="R1353" s="2" t="s">
        <v>4225</v>
      </c>
      <c r="S1353" s="1" t="s">
        <v>6243</v>
      </c>
      <c r="T1353" s="1">
        <v>33355</v>
      </c>
      <c r="U1353" s="1">
        <v>8556</v>
      </c>
      <c r="V1353" s="1">
        <v>8556</v>
      </c>
      <c r="AH1353" s="1">
        <v>24799</v>
      </c>
      <c r="AI1353" s="1">
        <v>24799</v>
      </c>
    </row>
    <row r="1354" spans="1:39" x14ac:dyDescent="0.2">
      <c r="A1354" s="1" t="s">
        <v>324</v>
      </c>
      <c r="B1354" s="1">
        <v>20453840</v>
      </c>
      <c r="C1354" s="1" t="s">
        <v>7420</v>
      </c>
      <c r="E1354" s="21">
        <v>21</v>
      </c>
      <c r="G1354" s="1" t="s">
        <v>175</v>
      </c>
      <c r="H1354" s="1" t="s">
        <v>7402</v>
      </c>
      <c r="I1354" s="5">
        <v>40307</v>
      </c>
      <c r="J1354" s="18" t="s">
        <v>11</v>
      </c>
      <c r="K1354" s="1" t="s">
        <v>28</v>
      </c>
      <c r="L1354" s="1" t="s">
        <v>1490</v>
      </c>
      <c r="M1354" s="5"/>
      <c r="N1354" s="5" t="s">
        <v>10</v>
      </c>
      <c r="O1354" s="5" t="s">
        <v>10</v>
      </c>
      <c r="P1354" s="1" t="s">
        <v>1491</v>
      </c>
      <c r="Q1354" s="1" t="s">
        <v>4276</v>
      </c>
      <c r="R1354" s="2" t="s">
        <v>4774</v>
      </c>
      <c r="S1354" s="1" t="s">
        <v>6243</v>
      </c>
      <c r="T1354" s="1">
        <v>5534</v>
      </c>
      <c r="U1354" s="1">
        <v>1754</v>
      </c>
      <c r="V1354" s="1">
        <v>1754</v>
      </c>
      <c r="AH1354" s="1">
        <v>3780</v>
      </c>
      <c r="AI1354" s="1">
        <v>3780</v>
      </c>
    </row>
    <row r="1355" spans="1:39" x14ac:dyDescent="0.2">
      <c r="A1355" s="1" t="s">
        <v>1493</v>
      </c>
      <c r="B1355" s="1">
        <v>20453841</v>
      </c>
      <c r="C1355" s="1" t="s">
        <v>7420</v>
      </c>
      <c r="E1355" s="21">
        <v>42</v>
      </c>
      <c r="G1355" s="1" t="s">
        <v>48</v>
      </c>
      <c r="H1355" s="1" t="s">
        <v>7340</v>
      </c>
      <c r="I1355" s="5">
        <v>40307</v>
      </c>
      <c r="J1355" s="18" t="s">
        <v>11</v>
      </c>
      <c r="K1355" s="1" t="s">
        <v>28</v>
      </c>
      <c r="L1355" s="1" t="s">
        <v>1492</v>
      </c>
      <c r="M1355" s="5"/>
      <c r="N1355" s="5" t="s">
        <v>10</v>
      </c>
      <c r="O1355" s="5" t="s">
        <v>10</v>
      </c>
      <c r="P1355" s="1" t="s">
        <v>4347</v>
      </c>
      <c r="Q1355" s="1" t="s">
        <v>4739</v>
      </c>
      <c r="R1355" s="2" t="s">
        <v>4348</v>
      </c>
      <c r="S1355" s="1" t="s">
        <v>6242</v>
      </c>
      <c r="T1355" s="1">
        <v>27810</v>
      </c>
      <c r="U1355" s="1">
        <v>5683</v>
      </c>
      <c r="X1355" s="1">
        <v>5683</v>
      </c>
      <c r="AH1355" s="1">
        <v>22127</v>
      </c>
      <c r="AK1355" s="1">
        <v>22127</v>
      </c>
    </row>
    <row r="1356" spans="1:39" x14ac:dyDescent="0.2">
      <c r="A1356" s="1" t="s">
        <v>1495</v>
      </c>
      <c r="B1356" s="1">
        <v>20453842</v>
      </c>
      <c r="C1356" s="1" t="s">
        <v>7420</v>
      </c>
      <c r="E1356" s="21">
        <v>139451</v>
      </c>
      <c r="G1356" s="1" t="s">
        <v>48</v>
      </c>
      <c r="H1356" s="1" t="s">
        <v>7340</v>
      </c>
      <c r="I1356" s="5">
        <v>40307</v>
      </c>
      <c r="J1356" s="18" t="s">
        <v>11</v>
      </c>
      <c r="K1356" s="1" t="s">
        <v>28</v>
      </c>
      <c r="L1356" s="1" t="s">
        <v>1494</v>
      </c>
      <c r="M1356" s="5"/>
      <c r="N1356" s="5" t="s">
        <v>10</v>
      </c>
      <c r="O1356" s="5" t="s">
        <v>10</v>
      </c>
      <c r="P1356" s="1" t="s">
        <v>5314</v>
      </c>
      <c r="Q1356" s="1" t="s">
        <v>5315</v>
      </c>
      <c r="R1356" s="2" t="s">
        <v>4678</v>
      </c>
      <c r="S1356" s="1" t="s">
        <v>6243</v>
      </c>
      <c r="T1356" s="1">
        <v>41282</v>
      </c>
      <c r="U1356" s="1">
        <v>25708</v>
      </c>
      <c r="V1356" s="1">
        <v>25708</v>
      </c>
      <c r="AH1356" s="1">
        <v>15574</v>
      </c>
      <c r="AI1356" s="1">
        <v>15574</v>
      </c>
    </row>
    <row r="1357" spans="1:39" x14ac:dyDescent="0.2">
      <c r="A1357" s="1" t="s">
        <v>1499</v>
      </c>
      <c r="B1357" s="1">
        <v>20460270</v>
      </c>
      <c r="C1357" s="1" t="s">
        <v>7420</v>
      </c>
      <c r="E1357" s="21">
        <v>192</v>
      </c>
      <c r="G1357" s="1" t="s">
        <v>1500</v>
      </c>
      <c r="H1357" s="1" t="s">
        <v>152</v>
      </c>
      <c r="I1357" s="5">
        <v>40309</v>
      </c>
      <c r="J1357" s="18" t="s">
        <v>11</v>
      </c>
      <c r="K1357" s="1" t="s">
        <v>103</v>
      </c>
      <c r="L1357" s="1" t="s">
        <v>1496</v>
      </c>
      <c r="M1357" s="5"/>
      <c r="N1357" s="5" t="s">
        <v>10</v>
      </c>
      <c r="O1357" s="5" t="s">
        <v>10</v>
      </c>
      <c r="P1357" s="1" t="s">
        <v>1497</v>
      </c>
      <c r="Q1357" s="1" t="s">
        <v>1498</v>
      </c>
      <c r="R1357" s="2" t="s">
        <v>4908</v>
      </c>
      <c r="S1357" s="1" t="s">
        <v>6242</v>
      </c>
      <c r="T1357" s="1">
        <v>895</v>
      </c>
      <c r="U1357" s="1">
        <v>681</v>
      </c>
      <c r="X1357" s="1">
        <v>681</v>
      </c>
      <c r="AH1357" s="1">
        <v>214</v>
      </c>
      <c r="AK1357" s="1">
        <v>214</v>
      </c>
    </row>
    <row r="1358" spans="1:39" x14ac:dyDescent="0.2">
      <c r="A1358" s="1" t="s">
        <v>234</v>
      </c>
      <c r="B1358" s="1">
        <v>20460622</v>
      </c>
      <c r="C1358" s="1" t="s">
        <v>7420</v>
      </c>
      <c r="E1358" s="21">
        <v>55</v>
      </c>
      <c r="G1358" s="1" t="s">
        <v>89</v>
      </c>
      <c r="H1358" s="1" t="s">
        <v>7126</v>
      </c>
      <c r="I1358" s="5">
        <v>40310</v>
      </c>
      <c r="J1358" s="18" t="s">
        <v>11</v>
      </c>
      <c r="K1358" s="1" t="s">
        <v>699</v>
      </c>
      <c r="L1358" s="1" t="s">
        <v>1501</v>
      </c>
      <c r="M1358" s="5"/>
      <c r="N1358" s="5" t="s">
        <v>10</v>
      </c>
      <c r="O1358" s="5" t="s">
        <v>10</v>
      </c>
      <c r="P1358" s="1" t="s">
        <v>5647</v>
      </c>
      <c r="Q1358" s="1" t="s">
        <v>5646</v>
      </c>
      <c r="R1358" s="2" t="s">
        <v>868</v>
      </c>
      <c r="S1358" s="1" t="s">
        <v>6243</v>
      </c>
      <c r="T1358" s="1">
        <v>37685</v>
      </c>
      <c r="U1358" s="1">
        <v>17648</v>
      </c>
      <c r="V1358" s="1">
        <v>17648</v>
      </c>
      <c r="AH1358" s="1">
        <v>20037</v>
      </c>
      <c r="AI1358" s="1">
        <v>20037</v>
      </c>
    </row>
    <row r="1359" spans="1:39" x14ac:dyDescent="0.2">
      <c r="A1359" s="1" t="s">
        <v>1515</v>
      </c>
      <c r="B1359" s="1">
        <v>20463552</v>
      </c>
      <c r="C1359" s="1" t="s">
        <v>7420</v>
      </c>
      <c r="E1359" s="21">
        <v>144</v>
      </c>
      <c r="G1359" s="1" t="s">
        <v>6932</v>
      </c>
      <c r="H1359" s="1" t="s">
        <v>1516</v>
      </c>
      <c r="I1359" s="5">
        <v>40330</v>
      </c>
      <c r="J1359" s="18" t="s">
        <v>11</v>
      </c>
      <c r="K1359" s="1" t="s">
        <v>294</v>
      </c>
      <c r="L1359" s="1" t="s">
        <v>1512</v>
      </c>
      <c r="M1359" s="5"/>
      <c r="N1359" s="5" t="s">
        <v>10</v>
      </c>
      <c r="O1359" s="5" t="s">
        <v>10</v>
      </c>
      <c r="P1359" s="1" t="s">
        <v>1513</v>
      </c>
      <c r="Q1359" s="1" t="s">
        <v>1514</v>
      </c>
      <c r="R1359" s="2" t="s">
        <v>4574</v>
      </c>
      <c r="S1359" s="1" t="s">
        <v>6242</v>
      </c>
      <c r="T1359" s="1">
        <v>428</v>
      </c>
      <c r="U1359" s="1">
        <v>245</v>
      </c>
      <c r="X1359" s="1">
        <v>245</v>
      </c>
      <c r="AH1359" s="1">
        <v>183</v>
      </c>
      <c r="AK1359" s="1">
        <v>183</v>
      </c>
    </row>
    <row r="1360" spans="1:39" x14ac:dyDescent="0.2">
      <c r="A1360" s="1" t="s">
        <v>45</v>
      </c>
      <c r="B1360" s="1">
        <v>20463881</v>
      </c>
      <c r="C1360" s="1" t="s">
        <v>7420</v>
      </c>
      <c r="E1360" s="21">
        <v>320</v>
      </c>
      <c r="G1360" s="1" t="s">
        <v>1506</v>
      </c>
      <c r="H1360" s="1" t="s">
        <v>188</v>
      </c>
      <c r="I1360" s="5">
        <v>40314</v>
      </c>
      <c r="J1360" s="18" t="s">
        <v>11</v>
      </c>
      <c r="K1360" s="1" t="s">
        <v>65</v>
      </c>
      <c r="L1360" s="1" t="s">
        <v>1505</v>
      </c>
      <c r="M1360" s="5"/>
      <c r="N1360" s="5" t="s">
        <v>10</v>
      </c>
      <c r="O1360" s="5" t="s">
        <v>10</v>
      </c>
      <c r="P1360" s="1" t="s">
        <v>4589</v>
      </c>
      <c r="Q1360" s="1" t="s">
        <v>4242</v>
      </c>
      <c r="R1360" s="2" t="s">
        <v>4382</v>
      </c>
      <c r="S1360" s="1" t="s">
        <v>6243</v>
      </c>
      <c r="T1360" s="1">
        <v>9494</v>
      </c>
      <c r="U1360" s="1">
        <v>5951</v>
      </c>
      <c r="V1360" s="1">
        <v>5951</v>
      </c>
      <c r="AH1360" s="1">
        <v>3543</v>
      </c>
      <c r="AI1360" s="1">
        <v>3543</v>
      </c>
    </row>
    <row r="1361" spans="1:37" x14ac:dyDescent="0.2">
      <c r="A1361" s="1" t="s">
        <v>1509</v>
      </c>
      <c r="B1361" s="1">
        <v>20484958</v>
      </c>
      <c r="C1361" s="1" t="s">
        <v>7420</v>
      </c>
      <c r="E1361" s="21">
        <v>53</v>
      </c>
      <c r="G1361" s="1" t="s">
        <v>1012</v>
      </c>
      <c r="H1361" s="1" t="s">
        <v>7415</v>
      </c>
      <c r="I1361" s="5">
        <v>40315</v>
      </c>
      <c r="J1361" s="18" t="s">
        <v>11</v>
      </c>
      <c r="K1361" s="1" t="s">
        <v>1507</v>
      </c>
      <c r="L1361" s="1" t="s">
        <v>1508</v>
      </c>
      <c r="M1361" s="5"/>
      <c r="N1361" s="5" t="s">
        <v>10</v>
      </c>
      <c r="O1361" s="5" t="s">
        <v>10</v>
      </c>
      <c r="P1361" s="1" t="s">
        <v>6236</v>
      </c>
      <c r="Q1361" s="1" t="s">
        <v>33</v>
      </c>
      <c r="R1361" s="2" t="s">
        <v>6447</v>
      </c>
      <c r="S1361" s="1" t="s">
        <v>6243</v>
      </c>
      <c r="T1361" s="1">
        <v>190</v>
      </c>
      <c r="U1361" s="1">
        <v>190</v>
      </c>
      <c r="V1361" s="1">
        <v>190</v>
      </c>
    </row>
    <row r="1362" spans="1:37" x14ac:dyDescent="0.2">
      <c r="A1362" s="1" t="s">
        <v>1504</v>
      </c>
      <c r="B1362" s="1">
        <v>20485516</v>
      </c>
      <c r="C1362" s="1" t="s">
        <v>7420</v>
      </c>
      <c r="E1362" s="21">
        <v>28</v>
      </c>
      <c r="G1362" s="1" t="s">
        <v>1782</v>
      </c>
      <c r="H1362" s="1" t="s">
        <v>7334</v>
      </c>
      <c r="I1362" s="5">
        <v>40311</v>
      </c>
      <c r="J1362" s="18" t="s">
        <v>11</v>
      </c>
      <c r="K1362" s="1" t="s">
        <v>65</v>
      </c>
      <c r="L1362" s="1" t="s">
        <v>1502</v>
      </c>
      <c r="M1362" s="5"/>
      <c r="N1362" s="5" t="s">
        <v>10</v>
      </c>
      <c r="O1362" s="5" t="s">
        <v>10</v>
      </c>
      <c r="P1362" s="1" t="s">
        <v>4011</v>
      </c>
      <c r="Q1362" s="1" t="s">
        <v>33</v>
      </c>
      <c r="R1362" s="2" t="s">
        <v>1503</v>
      </c>
      <c r="S1362" s="1" t="s">
        <v>6243</v>
      </c>
      <c r="T1362" s="1">
        <v>4075</v>
      </c>
      <c r="U1362" s="1">
        <v>4075</v>
      </c>
      <c r="V1362" s="1">
        <v>4075</v>
      </c>
    </row>
    <row r="1363" spans="1:37" x14ac:dyDescent="0.2">
      <c r="A1363" s="1" t="s">
        <v>1582</v>
      </c>
      <c r="B1363" s="1">
        <v>20485568</v>
      </c>
      <c r="C1363" s="1" t="s">
        <v>7420</v>
      </c>
      <c r="E1363" s="21">
        <v>71537</v>
      </c>
      <c r="F1363" s="17">
        <v>1</v>
      </c>
      <c r="G1363" s="1" t="s">
        <v>6827</v>
      </c>
      <c r="H1363" s="1" t="s">
        <v>7346</v>
      </c>
      <c r="I1363" s="5">
        <v>40311</v>
      </c>
      <c r="J1363" s="18" t="s">
        <v>10</v>
      </c>
      <c r="K1363" s="1" t="s">
        <v>65</v>
      </c>
      <c r="L1363" s="1" t="s">
        <v>2873</v>
      </c>
      <c r="M1363" s="5"/>
      <c r="N1363" s="5" t="s">
        <v>10</v>
      </c>
      <c r="O1363" s="5" t="s">
        <v>10</v>
      </c>
      <c r="P1363" s="2" t="s">
        <v>3333</v>
      </c>
      <c r="Q1363" s="1" t="s">
        <v>33</v>
      </c>
      <c r="R1363" s="10" t="s">
        <v>5695</v>
      </c>
      <c r="S1363" s="1" t="s">
        <v>6243</v>
      </c>
      <c r="T1363" s="1">
        <v>572</v>
      </c>
      <c r="U1363" s="1">
        <v>572</v>
      </c>
      <c r="V1363" s="1">
        <v>572</v>
      </c>
    </row>
    <row r="1364" spans="1:37" x14ac:dyDescent="0.2">
      <c r="A1364" s="1" t="s">
        <v>2318</v>
      </c>
      <c r="B1364" s="1">
        <v>20487506</v>
      </c>
      <c r="C1364" s="1" t="s">
        <v>7420</v>
      </c>
      <c r="E1364" s="21">
        <v>105</v>
      </c>
      <c r="G1364" s="1" t="s">
        <v>6844</v>
      </c>
      <c r="H1364" s="1" t="s">
        <v>7172</v>
      </c>
      <c r="I1364" s="5">
        <v>40238</v>
      </c>
      <c r="J1364" s="18" t="s">
        <v>11</v>
      </c>
      <c r="K1364" s="1" t="s">
        <v>2315</v>
      </c>
      <c r="L1364" s="1" t="s">
        <v>2316</v>
      </c>
      <c r="M1364" s="5"/>
      <c r="N1364" s="5" t="s">
        <v>10</v>
      </c>
      <c r="O1364" s="5" t="s">
        <v>10</v>
      </c>
      <c r="P1364" s="1" t="s">
        <v>2317</v>
      </c>
      <c r="Q1364" s="1" t="s">
        <v>33</v>
      </c>
      <c r="R1364" s="2" t="s">
        <v>4652</v>
      </c>
      <c r="S1364" s="1" t="s">
        <v>6440</v>
      </c>
      <c r="T1364" s="1">
        <v>226</v>
      </c>
      <c r="U1364" s="1">
        <v>226</v>
      </c>
      <c r="W1364" s="1">
        <v>226</v>
      </c>
    </row>
    <row r="1365" spans="1:37" x14ac:dyDescent="0.2">
      <c r="A1365" s="1" t="s">
        <v>1583</v>
      </c>
      <c r="B1365" s="1">
        <v>20502693</v>
      </c>
      <c r="C1365" s="1" t="s">
        <v>7420</v>
      </c>
      <c r="E1365" s="21">
        <v>230818</v>
      </c>
      <c r="F1365" s="17">
        <v>1</v>
      </c>
      <c r="G1365" s="1" t="s">
        <v>1584</v>
      </c>
      <c r="H1365" s="1" t="s">
        <v>7350</v>
      </c>
      <c r="I1365" s="5">
        <v>40316</v>
      </c>
      <c r="J1365" s="18" t="s">
        <v>10</v>
      </c>
      <c r="K1365" s="1" t="s">
        <v>181</v>
      </c>
      <c r="L1365" s="1" t="s">
        <v>2874</v>
      </c>
      <c r="M1365" s="5"/>
      <c r="N1365" s="5" t="s">
        <v>10</v>
      </c>
      <c r="O1365" s="5" t="s">
        <v>10</v>
      </c>
      <c r="P1365" s="2" t="s">
        <v>6277</v>
      </c>
      <c r="Q1365" s="1" t="s">
        <v>3341</v>
      </c>
      <c r="R1365" s="10" t="s">
        <v>5844</v>
      </c>
      <c r="S1365" s="1" t="s">
        <v>6243</v>
      </c>
      <c r="T1365" s="1">
        <v>2362</v>
      </c>
      <c r="U1365" s="1">
        <v>1490</v>
      </c>
      <c r="V1365" s="1">
        <v>1490</v>
      </c>
      <c r="AH1365" s="1">
        <v>872</v>
      </c>
      <c r="AI1365" s="1">
        <v>872</v>
      </c>
    </row>
    <row r="1366" spans="1:37" x14ac:dyDescent="0.2">
      <c r="A1366" s="1" t="s">
        <v>1511</v>
      </c>
      <c r="B1366" s="1">
        <v>20512145</v>
      </c>
      <c r="C1366" s="1" t="s">
        <v>7420</v>
      </c>
      <c r="E1366" s="21">
        <v>110</v>
      </c>
      <c r="G1366" s="1" t="s">
        <v>916</v>
      </c>
      <c r="H1366" s="1" t="s">
        <v>7102</v>
      </c>
      <c r="I1366" s="5">
        <v>40328</v>
      </c>
      <c r="J1366" s="18" t="s">
        <v>11</v>
      </c>
      <c r="K1366" s="1" t="s">
        <v>28</v>
      </c>
      <c r="L1366" s="1" t="s">
        <v>1510</v>
      </c>
      <c r="M1366" s="5"/>
      <c r="N1366" s="5" t="s">
        <v>10</v>
      </c>
      <c r="O1366" s="5" t="s">
        <v>10</v>
      </c>
      <c r="P1366" s="1" t="s">
        <v>3997</v>
      </c>
      <c r="Q1366" s="1" t="s">
        <v>4335</v>
      </c>
      <c r="R1366" s="2" t="s">
        <v>4431</v>
      </c>
      <c r="S1366" s="1" t="s">
        <v>6242</v>
      </c>
      <c r="T1366" s="1">
        <v>10899</v>
      </c>
      <c r="U1366" s="1">
        <v>3477</v>
      </c>
      <c r="X1366" s="1">
        <v>3477</v>
      </c>
      <c r="AH1366" s="1">
        <v>7422</v>
      </c>
      <c r="AK1366" s="1">
        <v>7422</v>
      </c>
    </row>
    <row r="1367" spans="1:37" x14ac:dyDescent="0.2">
      <c r="A1367" s="1" t="s">
        <v>1518</v>
      </c>
      <c r="B1367" s="1">
        <v>20516156</v>
      </c>
      <c r="C1367" s="1" t="s">
        <v>7420</v>
      </c>
      <c r="E1367" s="21">
        <v>112</v>
      </c>
      <c r="G1367" s="1" t="s">
        <v>1519</v>
      </c>
      <c r="H1367" s="1" t="s">
        <v>635</v>
      </c>
      <c r="I1367" s="5">
        <v>40330</v>
      </c>
      <c r="J1367" s="18" t="s">
        <v>11</v>
      </c>
      <c r="K1367" s="1" t="s">
        <v>879</v>
      </c>
      <c r="L1367" s="1" t="s">
        <v>1517</v>
      </c>
      <c r="M1367" s="5"/>
      <c r="N1367" s="5" t="s">
        <v>10</v>
      </c>
      <c r="O1367" s="5" t="s">
        <v>10</v>
      </c>
      <c r="P1367" s="1" t="s">
        <v>4004</v>
      </c>
      <c r="Q1367" s="1" t="s">
        <v>6208</v>
      </c>
      <c r="R1367" s="2" t="s">
        <v>4005</v>
      </c>
      <c r="S1367" s="1" t="s">
        <v>6243</v>
      </c>
      <c r="T1367" s="1">
        <v>6566</v>
      </c>
      <c r="U1367" s="1">
        <v>3230</v>
      </c>
      <c r="V1367" s="1">
        <v>3230</v>
      </c>
      <c r="AH1367" s="1">
        <v>3336</v>
      </c>
      <c r="AI1367" s="1">
        <v>3336</v>
      </c>
    </row>
    <row r="1368" spans="1:37" x14ac:dyDescent="0.2">
      <c r="A1368" s="1" t="s">
        <v>1522</v>
      </c>
      <c r="B1368" s="1">
        <v>20520587</v>
      </c>
      <c r="C1368" s="1" t="s">
        <v>7420</v>
      </c>
      <c r="E1368" s="21">
        <v>293</v>
      </c>
      <c r="G1368" s="1" t="s">
        <v>1523</v>
      </c>
      <c r="H1368" s="1" t="s">
        <v>6840</v>
      </c>
      <c r="I1368" s="5">
        <v>40330</v>
      </c>
      <c r="J1368" s="18" t="s">
        <v>11</v>
      </c>
      <c r="K1368" s="1" t="s">
        <v>1520</v>
      </c>
      <c r="L1368" s="1" t="s">
        <v>1521</v>
      </c>
      <c r="M1368" s="5"/>
      <c r="N1368" s="5" t="s">
        <v>10</v>
      </c>
      <c r="O1368" s="5" t="s">
        <v>10</v>
      </c>
      <c r="P1368" s="1" t="s">
        <v>6219</v>
      </c>
      <c r="Q1368" s="1" t="s">
        <v>33</v>
      </c>
      <c r="R1368" s="2" t="s">
        <v>4360</v>
      </c>
      <c r="S1368" s="1" t="s">
        <v>6244</v>
      </c>
      <c r="T1368" s="1">
        <v>575</v>
      </c>
      <c r="U1368" s="1">
        <v>575</v>
      </c>
      <c r="V1368" s="1">
        <v>350</v>
      </c>
      <c r="W1368" s="1">
        <v>225</v>
      </c>
    </row>
    <row r="1369" spans="1:37" x14ac:dyDescent="0.2">
      <c r="A1369" s="1" t="s">
        <v>1561</v>
      </c>
      <c r="B1369" s="1">
        <v>20522523</v>
      </c>
      <c r="C1369" s="1" t="s">
        <v>7420</v>
      </c>
      <c r="E1369" s="21">
        <v>31335</v>
      </c>
      <c r="G1369" s="1" t="s">
        <v>7109</v>
      </c>
      <c r="H1369" s="1" t="s">
        <v>6626</v>
      </c>
      <c r="I1369" s="5">
        <v>40351</v>
      </c>
      <c r="J1369" s="18" t="s">
        <v>11</v>
      </c>
      <c r="K1369" s="1" t="s">
        <v>1559</v>
      </c>
      <c r="L1369" s="1" t="s">
        <v>1560</v>
      </c>
      <c r="M1369" s="5"/>
      <c r="N1369" s="5" t="s">
        <v>10</v>
      </c>
      <c r="O1369" s="5" t="s">
        <v>10</v>
      </c>
      <c r="P1369" s="1" t="s">
        <v>5444</v>
      </c>
      <c r="Q1369" s="1" t="s">
        <v>33</v>
      </c>
      <c r="R1369" s="2" t="s">
        <v>4863</v>
      </c>
      <c r="S1369" s="1" t="s">
        <v>6243</v>
      </c>
      <c r="T1369" s="1">
        <v>10380</v>
      </c>
      <c r="U1369" s="1">
        <v>10380</v>
      </c>
      <c r="V1369" s="1">
        <v>10380</v>
      </c>
    </row>
    <row r="1370" spans="1:37" x14ac:dyDescent="0.2">
      <c r="A1370" s="1" t="s">
        <v>850</v>
      </c>
      <c r="B1370" s="1">
        <v>20526338</v>
      </c>
      <c r="C1370" s="1" t="s">
        <v>7420</v>
      </c>
      <c r="E1370" s="21">
        <v>128</v>
      </c>
      <c r="G1370" s="1" t="s">
        <v>1530</v>
      </c>
      <c r="H1370" s="1" t="s">
        <v>7307</v>
      </c>
      <c r="I1370" s="5">
        <v>40335</v>
      </c>
      <c r="J1370" s="18" t="s">
        <v>11</v>
      </c>
      <c r="K1370" s="1" t="s">
        <v>28</v>
      </c>
      <c r="L1370" s="1" t="s">
        <v>1527</v>
      </c>
      <c r="M1370" s="5"/>
      <c r="N1370" s="5" t="s">
        <v>10</v>
      </c>
      <c r="O1370" s="5" t="s">
        <v>10</v>
      </c>
      <c r="P1370" s="1" t="s">
        <v>5445</v>
      </c>
      <c r="Q1370" s="1" t="s">
        <v>1528</v>
      </c>
      <c r="R1370" s="2" t="s">
        <v>1529</v>
      </c>
      <c r="S1370" s="1" t="s">
        <v>6244</v>
      </c>
      <c r="T1370" s="1">
        <v>4831</v>
      </c>
      <c r="U1370" s="1">
        <v>3991</v>
      </c>
      <c r="V1370" s="1">
        <v>3991</v>
      </c>
      <c r="AH1370" s="1">
        <v>840</v>
      </c>
      <c r="AJ1370" s="1">
        <v>840</v>
      </c>
    </row>
    <row r="1371" spans="1:37" x14ac:dyDescent="0.2">
      <c r="A1371" s="1" t="s">
        <v>1525</v>
      </c>
      <c r="B1371" s="1">
        <v>20526339</v>
      </c>
      <c r="C1371" s="1" t="s">
        <v>7420</v>
      </c>
      <c r="E1371" s="21">
        <v>127</v>
      </c>
      <c r="G1371" s="1" t="s">
        <v>1526</v>
      </c>
      <c r="H1371" s="1" t="s">
        <v>137</v>
      </c>
      <c r="I1371" s="5">
        <v>40335</v>
      </c>
      <c r="J1371" s="18" t="s">
        <v>11</v>
      </c>
      <c r="K1371" s="1" t="s">
        <v>28</v>
      </c>
      <c r="L1371" s="1" t="s">
        <v>1524</v>
      </c>
      <c r="M1371" s="5"/>
      <c r="N1371" s="5" t="s">
        <v>10</v>
      </c>
      <c r="O1371" s="5" t="s">
        <v>10</v>
      </c>
      <c r="P1371" s="1" t="s">
        <v>3967</v>
      </c>
      <c r="Q1371" s="1" t="s">
        <v>4893</v>
      </c>
      <c r="R1371" s="2" t="s">
        <v>4326</v>
      </c>
      <c r="S1371" s="1" t="s">
        <v>6242</v>
      </c>
      <c r="T1371" s="1">
        <v>19909</v>
      </c>
      <c r="U1371" s="1">
        <v>2546</v>
      </c>
      <c r="X1371" s="1">
        <v>2546</v>
      </c>
      <c r="AH1371" s="1">
        <v>17363</v>
      </c>
      <c r="AK1371" s="1">
        <v>17363</v>
      </c>
    </row>
    <row r="1372" spans="1:37" x14ac:dyDescent="0.2">
      <c r="A1372" s="1" t="s">
        <v>1534</v>
      </c>
      <c r="B1372" s="1">
        <v>20528957</v>
      </c>
      <c r="C1372" s="1" t="s">
        <v>7420</v>
      </c>
      <c r="E1372" s="21">
        <v>161</v>
      </c>
      <c r="G1372" s="1" t="s">
        <v>1535</v>
      </c>
      <c r="H1372" s="1" t="s">
        <v>7145</v>
      </c>
      <c r="I1372" s="5">
        <v>40336</v>
      </c>
      <c r="J1372" s="18" t="s">
        <v>11</v>
      </c>
      <c r="K1372" s="1" t="s">
        <v>302</v>
      </c>
      <c r="L1372" s="1" t="s">
        <v>1531</v>
      </c>
      <c r="M1372" s="5"/>
      <c r="N1372" s="5" t="s">
        <v>10</v>
      </c>
      <c r="O1372" s="5" t="s">
        <v>10</v>
      </c>
      <c r="P1372" s="1" t="s">
        <v>1532</v>
      </c>
      <c r="Q1372" s="1" t="s">
        <v>1533</v>
      </c>
      <c r="R1372" s="2" t="s">
        <v>4496</v>
      </c>
      <c r="S1372" s="1" t="s">
        <v>6243</v>
      </c>
      <c r="T1372" s="1">
        <v>1210</v>
      </c>
      <c r="U1372" s="1">
        <v>755</v>
      </c>
      <c r="V1372" s="1">
        <v>755</v>
      </c>
      <c r="AH1372" s="1">
        <v>455</v>
      </c>
      <c r="AI1372" s="1">
        <v>455</v>
      </c>
    </row>
    <row r="1373" spans="1:37" x14ac:dyDescent="0.2">
      <c r="A1373" s="1" t="s">
        <v>1171</v>
      </c>
      <c r="B1373" s="1">
        <v>20529293</v>
      </c>
      <c r="C1373" s="1" t="s">
        <v>7420</v>
      </c>
      <c r="E1373" s="21">
        <v>31</v>
      </c>
      <c r="G1373" s="1" t="s">
        <v>2692</v>
      </c>
      <c r="H1373" s="1" t="s">
        <v>7308</v>
      </c>
      <c r="I1373" s="5">
        <v>40336</v>
      </c>
      <c r="J1373" s="18" t="s">
        <v>10</v>
      </c>
      <c r="K1373" s="1" t="s">
        <v>538</v>
      </c>
      <c r="L1373" s="1" t="s">
        <v>2875</v>
      </c>
      <c r="N1373" s="5" t="s">
        <v>10</v>
      </c>
      <c r="O1373" s="5" t="s">
        <v>10</v>
      </c>
      <c r="P1373" s="1" t="s">
        <v>3892</v>
      </c>
      <c r="Q1373" s="1" t="s">
        <v>33</v>
      </c>
      <c r="R1373" s="2" t="s">
        <v>6467</v>
      </c>
      <c r="S1373" s="1" t="s">
        <v>6244</v>
      </c>
      <c r="T1373" s="1">
        <v>2077</v>
      </c>
      <c r="U1373" s="1">
        <v>2077</v>
      </c>
      <c r="V1373" s="1">
        <v>1231</v>
      </c>
      <c r="W1373" s="1">
        <v>846</v>
      </c>
    </row>
    <row r="1374" spans="1:37" x14ac:dyDescent="0.2">
      <c r="A1374" s="1" t="s">
        <v>1537</v>
      </c>
      <c r="B1374" s="1">
        <v>20529992</v>
      </c>
      <c r="C1374" s="1" t="s">
        <v>7420</v>
      </c>
      <c r="E1374" s="21">
        <v>528</v>
      </c>
      <c r="G1374" s="1" t="s">
        <v>6727</v>
      </c>
      <c r="H1374" s="1" t="s">
        <v>7211</v>
      </c>
      <c r="I1374" s="5">
        <v>40336</v>
      </c>
      <c r="J1374" s="18" t="s">
        <v>11</v>
      </c>
      <c r="K1374" s="1" t="s">
        <v>551</v>
      </c>
      <c r="L1374" s="1" t="s">
        <v>1536</v>
      </c>
      <c r="M1374" s="5"/>
      <c r="N1374" s="5" t="s">
        <v>10</v>
      </c>
      <c r="O1374" s="5" t="s">
        <v>10</v>
      </c>
      <c r="P1374" s="1" t="s">
        <v>5508</v>
      </c>
      <c r="Q1374" s="1" t="s">
        <v>5509</v>
      </c>
      <c r="R1374" s="2" t="s">
        <v>4425</v>
      </c>
      <c r="S1374" s="1" t="s">
        <v>6243</v>
      </c>
      <c r="T1374" s="1">
        <v>4412</v>
      </c>
      <c r="U1374" s="1">
        <v>1495</v>
      </c>
      <c r="V1374" s="1">
        <v>1495</v>
      </c>
      <c r="AH1374" s="1">
        <v>2917</v>
      </c>
      <c r="AI1374" s="1">
        <v>2917</v>
      </c>
    </row>
    <row r="1375" spans="1:37" x14ac:dyDescent="0.2">
      <c r="A1375" s="1" t="s">
        <v>1541</v>
      </c>
      <c r="B1375" s="1">
        <v>20532800</v>
      </c>
      <c r="C1375" s="1" t="s">
        <v>7420</v>
      </c>
      <c r="E1375" s="21">
        <v>62</v>
      </c>
      <c r="G1375" s="1" t="s">
        <v>6880</v>
      </c>
      <c r="H1375" s="1" t="s">
        <v>1154</v>
      </c>
      <c r="I1375" s="5">
        <v>40337</v>
      </c>
      <c r="J1375" s="18" t="s">
        <v>11</v>
      </c>
      <c r="K1375" s="1" t="s">
        <v>595</v>
      </c>
      <c r="L1375" s="1" t="s">
        <v>1538</v>
      </c>
      <c r="M1375" s="5"/>
      <c r="N1375" s="5" t="s">
        <v>10</v>
      </c>
      <c r="O1375" s="5" t="s">
        <v>10</v>
      </c>
      <c r="P1375" s="1" t="s">
        <v>1539</v>
      </c>
      <c r="Q1375" s="1" t="s">
        <v>1540</v>
      </c>
      <c r="R1375" s="2" t="s">
        <v>5018</v>
      </c>
      <c r="S1375" s="1" t="s">
        <v>6440</v>
      </c>
      <c r="T1375" s="1">
        <v>1641</v>
      </c>
      <c r="U1375" s="1">
        <v>942</v>
      </c>
      <c r="W1375" s="1">
        <v>942</v>
      </c>
      <c r="AH1375" s="1">
        <v>699</v>
      </c>
      <c r="AJ1375" s="1">
        <v>699</v>
      </c>
    </row>
    <row r="1376" spans="1:37" x14ac:dyDescent="0.2">
      <c r="A1376" s="1" t="s">
        <v>1557</v>
      </c>
      <c r="B1376" s="1">
        <v>20534544</v>
      </c>
      <c r="C1376" s="1" t="s">
        <v>7420</v>
      </c>
      <c r="E1376" s="21">
        <v>432</v>
      </c>
      <c r="G1376" s="1" t="s">
        <v>1558</v>
      </c>
      <c r="H1376" s="1" t="s">
        <v>7219</v>
      </c>
      <c r="I1376" s="5">
        <v>40351</v>
      </c>
      <c r="J1376" s="18" t="s">
        <v>11</v>
      </c>
      <c r="K1376" s="1" t="s">
        <v>210</v>
      </c>
      <c r="L1376" s="1" t="s">
        <v>1554</v>
      </c>
      <c r="M1376" s="5"/>
      <c r="N1376" s="5" t="s">
        <v>10</v>
      </c>
      <c r="O1376" s="5" t="s">
        <v>10</v>
      </c>
      <c r="P1376" s="1" t="s">
        <v>1555</v>
      </c>
      <c r="Q1376" s="1" t="s">
        <v>1556</v>
      </c>
      <c r="R1376" s="2" t="s">
        <v>4230</v>
      </c>
      <c r="S1376" s="1" t="s">
        <v>6242</v>
      </c>
      <c r="T1376" s="1">
        <v>196</v>
      </c>
      <c r="U1376" s="1">
        <v>35</v>
      </c>
      <c r="X1376" s="1">
        <v>35</v>
      </c>
      <c r="AH1376" s="1">
        <v>161</v>
      </c>
      <c r="AK1376" s="1">
        <v>161</v>
      </c>
    </row>
    <row r="1377" spans="1:44" x14ac:dyDescent="0.2">
      <c r="A1377" s="1" t="s">
        <v>1616</v>
      </c>
      <c r="B1377" s="1">
        <v>20534741</v>
      </c>
      <c r="C1377" s="1" t="s">
        <v>7420</v>
      </c>
      <c r="E1377" s="21">
        <v>7</v>
      </c>
      <c r="G1377" s="1" t="s">
        <v>89</v>
      </c>
      <c r="H1377" s="1" t="s">
        <v>7126</v>
      </c>
      <c r="I1377" s="5">
        <v>40338</v>
      </c>
      <c r="J1377" s="18" t="s">
        <v>10</v>
      </c>
      <c r="K1377" s="1" t="s">
        <v>103</v>
      </c>
      <c r="L1377" s="1" t="s">
        <v>2876</v>
      </c>
      <c r="M1377" s="5"/>
      <c r="N1377" s="5" t="s">
        <v>10</v>
      </c>
      <c r="O1377" s="5" t="s">
        <v>10</v>
      </c>
      <c r="P1377" s="1" t="s">
        <v>6279</v>
      </c>
      <c r="Q1377" s="1" t="s">
        <v>33</v>
      </c>
      <c r="R1377" s="2" t="s">
        <v>5989</v>
      </c>
      <c r="S1377" s="1" t="s">
        <v>6243</v>
      </c>
      <c r="T1377" s="1">
        <v>1610</v>
      </c>
      <c r="U1377" s="1">
        <v>1610</v>
      </c>
      <c r="V1377" s="1">
        <v>1610</v>
      </c>
    </row>
    <row r="1378" spans="1:44" x14ac:dyDescent="0.2">
      <c r="A1378" s="1" t="s">
        <v>1543</v>
      </c>
      <c r="B1378" s="1">
        <v>20541252</v>
      </c>
      <c r="C1378" s="1" t="s">
        <v>7420</v>
      </c>
      <c r="E1378" s="21">
        <v>25</v>
      </c>
      <c r="G1378" s="1" t="s">
        <v>1544</v>
      </c>
      <c r="H1378" s="1" t="s">
        <v>7219</v>
      </c>
      <c r="I1378" s="5">
        <v>40338</v>
      </c>
      <c r="J1378" s="18" t="s">
        <v>11</v>
      </c>
      <c r="K1378" s="1" t="s">
        <v>351</v>
      </c>
      <c r="L1378" s="1" t="s">
        <v>1542</v>
      </c>
      <c r="M1378" s="5"/>
      <c r="N1378" s="5" t="s">
        <v>10</v>
      </c>
      <c r="O1378" s="5" t="s">
        <v>10</v>
      </c>
      <c r="P1378" s="1" t="s">
        <v>5513</v>
      </c>
      <c r="Q1378" s="1" t="s">
        <v>5514</v>
      </c>
      <c r="R1378" s="2" t="s">
        <v>4818</v>
      </c>
      <c r="S1378" s="1" t="s">
        <v>6243</v>
      </c>
      <c r="T1378" s="1">
        <v>33996</v>
      </c>
      <c r="U1378" s="1">
        <v>16125</v>
      </c>
      <c r="V1378" s="1">
        <v>16125</v>
      </c>
      <c r="AH1378" s="1">
        <v>17871</v>
      </c>
      <c r="AI1378" s="1">
        <v>17871</v>
      </c>
    </row>
    <row r="1379" spans="1:44" x14ac:dyDescent="0.2">
      <c r="A1379" s="1" t="s">
        <v>1489</v>
      </c>
      <c r="B1379" s="1">
        <v>20543847</v>
      </c>
      <c r="C1379" s="1" t="s">
        <v>7420</v>
      </c>
      <c r="E1379" s="21">
        <v>63</v>
      </c>
      <c r="G1379" s="1" t="s">
        <v>919</v>
      </c>
      <c r="H1379" s="1" t="s">
        <v>6692</v>
      </c>
      <c r="I1379" s="5">
        <v>40342</v>
      </c>
      <c r="J1379" s="18" t="s">
        <v>11</v>
      </c>
      <c r="K1379" s="1" t="s">
        <v>28</v>
      </c>
      <c r="L1379" s="1" t="s">
        <v>1550</v>
      </c>
      <c r="M1379" s="5"/>
      <c r="N1379" s="1" t="s">
        <v>11</v>
      </c>
      <c r="O1379" s="1" t="s">
        <v>11</v>
      </c>
      <c r="P1379" s="1" t="s">
        <v>4508</v>
      </c>
      <c r="Q1379" s="1" t="s">
        <v>4401</v>
      </c>
      <c r="R1379" s="2" t="s">
        <v>4860</v>
      </c>
      <c r="S1379" s="1" t="s">
        <v>6243</v>
      </c>
      <c r="T1379" s="1">
        <v>10046</v>
      </c>
      <c r="U1379" s="1">
        <v>5926</v>
      </c>
      <c r="V1379" s="1">
        <v>5926</v>
      </c>
      <c r="AH1379" s="1">
        <v>4120</v>
      </c>
      <c r="AI1379" s="1">
        <v>4120</v>
      </c>
    </row>
    <row r="1380" spans="1:44" x14ac:dyDescent="0.2">
      <c r="A1380" s="1" t="s">
        <v>1546</v>
      </c>
      <c r="B1380" s="1">
        <v>20548944</v>
      </c>
      <c r="C1380" s="1" t="s">
        <v>7420</v>
      </c>
      <c r="E1380" s="21">
        <v>83</v>
      </c>
      <c r="G1380" s="1" t="s">
        <v>413</v>
      </c>
      <c r="H1380" s="1" t="s">
        <v>7231</v>
      </c>
      <c r="I1380" s="5">
        <v>40339</v>
      </c>
      <c r="J1380" s="18" t="s">
        <v>11</v>
      </c>
      <c r="K1380" s="1" t="s">
        <v>65</v>
      </c>
      <c r="L1380" s="1" t="s">
        <v>1545</v>
      </c>
      <c r="M1380" s="5"/>
      <c r="N1380" s="5" t="s">
        <v>10</v>
      </c>
      <c r="O1380" s="5" t="s">
        <v>10</v>
      </c>
      <c r="P1380" s="1" t="s">
        <v>6191</v>
      </c>
      <c r="Q1380" s="1" t="s">
        <v>6192</v>
      </c>
      <c r="R1380" s="2" t="s">
        <v>4302</v>
      </c>
      <c r="S1380" s="1" t="s">
        <v>6243</v>
      </c>
      <c r="T1380" s="1">
        <v>11290</v>
      </c>
      <c r="U1380" s="1">
        <v>3569</v>
      </c>
      <c r="V1380" s="1">
        <v>3569</v>
      </c>
      <c r="AH1380" s="1">
        <v>7721</v>
      </c>
      <c r="AI1380" s="1">
        <v>7721</v>
      </c>
    </row>
    <row r="1381" spans="1:44" x14ac:dyDescent="0.2">
      <c r="A1381" s="1" t="s">
        <v>1548</v>
      </c>
      <c r="B1381" s="1">
        <v>20548946</v>
      </c>
      <c r="C1381" s="1" t="s">
        <v>7420</v>
      </c>
      <c r="E1381" s="21">
        <v>13</v>
      </c>
      <c r="G1381" s="1" t="s">
        <v>1549</v>
      </c>
      <c r="H1381" s="1" t="s">
        <v>7334</v>
      </c>
      <c r="I1381" s="5">
        <v>40339</v>
      </c>
      <c r="J1381" s="18" t="s">
        <v>11</v>
      </c>
      <c r="K1381" s="1" t="s">
        <v>65</v>
      </c>
      <c r="L1381" s="1" t="s">
        <v>1547</v>
      </c>
      <c r="M1381" s="5"/>
      <c r="N1381" s="5" t="s">
        <v>10</v>
      </c>
      <c r="O1381" s="5" t="s">
        <v>10</v>
      </c>
      <c r="P1381" s="1" t="s">
        <v>6180</v>
      </c>
      <c r="Q1381" s="1" t="s">
        <v>6181</v>
      </c>
      <c r="R1381" s="2" t="s">
        <v>868</v>
      </c>
      <c r="S1381" s="1" t="s">
        <v>6243</v>
      </c>
      <c r="T1381" s="1">
        <v>11815</v>
      </c>
      <c r="U1381" s="1">
        <v>7360</v>
      </c>
      <c r="V1381" s="1">
        <v>7360</v>
      </c>
      <c r="AH1381" s="1">
        <v>4455</v>
      </c>
      <c r="AI1381" s="1">
        <v>4455</v>
      </c>
    </row>
    <row r="1382" spans="1:44" x14ac:dyDescent="0.2">
      <c r="A1382" s="1" t="s">
        <v>1553</v>
      </c>
      <c r="B1382" s="1">
        <v>20558539</v>
      </c>
      <c r="C1382" s="1" t="s">
        <v>7420</v>
      </c>
      <c r="E1382" s="21">
        <v>7</v>
      </c>
      <c r="G1382" s="1" t="s">
        <v>6728</v>
      </c>
      <c r="H1382" s="1" t="s">
        <v>7211</v>
      </c>
      <c r="I1382" s="5">
        <v>40346</v>
      </c>
      <c r="J1382" s="18" t="s">
        <v>11</v>
      </c>
      <c r="K1382" s="1" t="s">
        <v>1551</v>
      </c>
      <c r="L1382" s="1" t="s">
        <v>1552</v>
      </c>
      <c r="M1382" s="5"/>
      <c r="N1382" s="5" t="s">
        <v>10</v>
      </c>
      <c r="O1382" s="5" t="s">
        <v>10</v>
      </c>
      <c r="P1382" s="1" t="s">
        <v>5133</v>
      </c>
      <c r="Q1382" s="1" t="s">
        <v>6081</v>
      </c>
      <c r="R1382" s="2" t="s">
        <v>868</v>
      </c>
      <c r="S1382" s="1" t="s">
        <v>6389</v>
      </c>
      <c r="T1382" s="1">
        <v>21808</v>
      </c>
      <c r="U1382" s="1">
        <v>16264</v>
      </c>
      <c r="V1382" s="1">
        <v>16264</v>
      </c>
      <c r="AH1382" s="1">
        <v>5544</v>
      </c>
      <c r="AI1382" s="1">
        <v>4037</v>
      </c>
      <c r="AR1382" s="1">
        <v>1507</v>
      </c>
    </row>
    <row r="1383" spans="1:44" x14ac:dyDescent="0.2">
      <c r="A1383" s="1" t="s">
        <v>1866</v>
      </c>
      <c r="B1383" s="1">
        <v>20558613</v>
      </c>
      <c r="C1383" s="1" t="s">
        <v>7420</v>
      </c>
      <c r="E1383" s="21">
        <v>8</v>
      </c>
      <c r="G1383" s="1" t="s">
        <v>6907</v>
      </c>
      <c r="H1383" s="1" t="s">
        <v>7202</v>
      </c>
      <c r="I1383" s="5">
        <v>40346</v>
      </c>
      <c r="J1383" s="18" t="s">
        <v>10</v>
      </c>
      <c r="K1383" s="1" t="s">
        <v>455</v>
      </c>
      <c r="L1383" s="1" t="s">
        <v>2877</v>
      </c>
      <c r="M1383" s="5"/>
      <c r="N1383" s="5" t="s">
        <v>10</v>
      </c>
      <c r="O1383" s="5" t="s">
        <v>10</v>
      </c>
      <c r="P1383" s="1" t="s">
        <v>3183</v>
      </c>
      <c r="Q1383" s="1" t="s">
        <v>33</v>
      </c>
      <c r="R1383" s="2" t="s">
        <v>6038</v>
      </c>
      <c r="S1383" s="1" t="s">
        <v>6244</v>
      </c>
      <c r="T1383" s="1">
        <v>1093</v>
      </c>
      <c r="U1383" s="1">
        <v>1093</v>
      </c>
      <c r="V1383" s="1">
        <v>227</v>
      </c>
      <c r="X1383" s="1">
        <v>284</v>
      </c>
      <c r="Y1383" s="1">
        <v>298</v>
      </c>
      <c r="AA1383" s="1">
        <v>284</v>
      </c>
    </row>
    <row r="1384" spans="1:44" x14ac:dyDescent="0.2">
      <c r="A1384" s="1" t="s">
        <v>1369</v>
      </c>
      <c r="B1384" s="1">
        <v>20570966</v>
      </c>
      <c r="C1384" s="1" t="s">
        <v>7420</v>
      </c>
      <c r="E1384" s="21">
        <v>65</v>
      </c>
      <c r="G1384" s="1" t="s">
        <v>21</v>
      </c>
      <c r="H1384" s="1" t="s">
        <v>22</v>
      </c>
      <c r="I1384" s="5">
        <v>40358</v>
      </c>
      <c r="J1384" s="18" t="s">
        <v>11</v>
      </c>
      <c r="K1384" s="1" t="s">
        <v>103</v>
      </c>
      <c r="L1384" s="1" t="s">
        <v>1568</v>
      </c>
      <c r="M1384" s="5"/>
      <c r="N1384" s="5" t="s">
        <v>10</v>
      </c>
      <c r="O1384" s="5" t="s">
        <v>10</v>
      </c>
      <c r="P1384" s="1" t="s">
        <v>6130</v>
      </c>
      <c r="Q1384" s="1" t="s">
        <v>5594</v>
      </c>
      <c r="R1384" s="2" t="s">
        <v>4506</v>
      </c>
      <c r="S1384" s="1" t="s">
        <v>6243</v>
      </c>
      <c r="T1384" s="1">
        <v>5631</v>
      </c>
      <c r="U1384" s="1">
        <v>4100</v>
      </c>
      <c r="V1384" s="1">
        <v>4100</v>
      </c>
      <c r="AH1384" s="1">
        <v>1531</v>
      </c>
      <c r="AI1384" s="1">
        <v>1531</v>
      </c>
    </row>
    <row r="1385" spans="1:44" x14ac:dyDescent="0.2">
      <c r="A1385" s="1" t="s">
        <v>1567</v>
      </c>
      <c r="B1385" s="1">
        <v>20581827</v>
      </c>
      <c r="C1385" s="1" t="s">
        <v>7420</v>
      </c>
      <c r="E1385" s="21">
        <v>282</v>
      </c>
      <c r="G1385" s="1" t="s">
        <v>61</v>
      </c>
      <c r="H1385" s="1" t="s">
        <v>7396</v>
      </c>
      <c r="I1385" s="5">
        <v>40356</v>
      </c>
      <c r="J1385" s="18" t="s">
        <v>11</v>
      </c>
      <c r="K1385" s="1" t="s">
        <v>28</v>
      </c>
      <c r="L1385" s="1" t="s">
        <v>1566</v>
      </c>
      <c r="M1385" s="5"/>
      <c r="N1385" s="5" t="s">
        <v>10</v>
      </c>
      <c r="O1385" s="5" t="s">
        <v>10</v>
      </c>
      <c r="P1385" s="1" t="s">
        <v>5575</v>
      </c>
      <c r="Q1385" s="1" t="s">
        <v>5576</v>
      </c>
      <c r="R1385" s="2" t="s">
        <v>4688</v>
      </c>
      <c r="S1385" s="1" t="s">
        <v>6243</v>
      </c>
      <c r="T1385" s="1">
        <v>141454</v>
      </c>
      <c r="U1385" s="1">
        <v>47117</v>
      </c>
      <c r="V1385" s="1">
        <v>47117</v>
      </c>
      <c r="AH1385" s="1">
        <v>94337</v>
      </c>
      <c r="AI1385" s="1">
        <v>94337</v>
      </c>
    </row>
    <row r="1386" spans="1:44" x14ac:dyDescent="0.2">
      <c r="A1386" s="1" t="s">
        <v>1570</v>
      </c>
      <c r="B1386" s="1">
        <v>20585324</v>
      </c>
      <c r="C1386" s="1" t="s">
        <v>7420</v>
      </c>
      <c r="E1386" s="21">
        <v>58</v>
      </c>
      <c r="G1386" s="1" t="s">
        <v>1571</v>
      </c>
      <c r="H1386" s="1" t="s">
        <v>179</v>
      </c>
      <c r="I1386" s="5">
        <v>40358</v>
      </c>
      <c r="J1386" s="18" t="s">
        <v>11</v>
      </c>
      <c r="K1386" s="1" t="s">
        <v>71</v>
      </c>
      <c r="L1386" s="1" t="s">
        <v>1569</v>
      </c>
      <c r="M1386" s="5"/>
      <c r="N1386" s="5" t="s">
        <v>10</v>
      </c>
      <c r="O1386" s="5" t="s">
        <v>10</v>
      </c>
      <c r="P1386" s="1" t="s">
        <v>6400</v>
      </c>
      <c r="Q1386" s="1" t="s">
        <v>33</v>
      </c>
      <c r="R1386" s="2" t="s">
        <v>4802</v>
      </c>
      <c r="S1386" s="1" t="s">
        <v>6244</v>
      </c>
      <c r="T1386" s="1">
        <v>3963</v>
      </c>
      <c r="U1386" s="1">
        <v>3963</v>
      </c>
      <c r="V1386" s="1">
        <v>2698</v>
      </c>
      <c r="W1386" s="1">
        <v>1257</v>
      </c>
      <c r="AE1386" s="1">
        <v>8</v>
      </c>
    </row>
    <row r="1387" spans="1:44" x14ac:dyDescent="0.2">
      <c r="A1387" s="1" t="s">
        <v>1563</v>
      </c>
      <c r="B1387" s="1">
        <v>20585626</v>
      </c>
      <c r="C1387" s="1" t="s">
        <v>7420</v>
      </c>
      <c r="E1387" s="21">
        <v>55</v>
      </c>
      <c r="G1387" s="1" t="s">
        <v>1564</v>
      </c>
      <c r="H1387" s="1" t="s">
        <v>6675</v>
      </c>
      <c r="I1387" s="5">
        <v>40353</v>
      </c>
      <c r="J1387" s="18" t="s">
        <v>11</v>
      </c>
      <c r="K1387" s="1" t="s">
        <v>65</v>
      </c>
      <c r="L1387" s="1" t="s">
        <v>1562</v>
      </c>
      <c r="M1387" s="5"/>
      <c r="N1387" s="5" t="s">
        <v>11</v>
      </c>
      <c r="O1387" s="5" t="s">
        <v>11</v>
      </c>
      <c r="P1387" s="1" t="s">
        <v>4197</v>
      </c>
      <c r="Q1387" s="1" t="s">
        <v>4823</v>
      </c>
      <c r="R1387" s="2" t="s">
        <v>3065</v>
      </c>
      <c r="S1387" s="1" t="s">
        <v>6244</v>
      </c>
      <c r="T1387" s="1">
        <v>28469</v>
      </c>
      <c r="U1387" s="1">
        <v>4157</v>
      </c>
      <c r="X1387" s="1">
        <v>4157</v>
      </c>
      <c r="AH1387" s="1">
        <v>24312</v>
      </c>
      <c r="AI1387" s="1">
        <v>5459</v>
      </c>
      <c r="AK1387" s="1">
        <v>18853</v>
      </c>
    </row>
    <row r="1388" spans="1:44" x14ac:dyDescent="0.2">
      <c r="A1388" s="1" t="s">
        <v>1586</v>
      </c>
      <c r="B1388" s="1">
        <v>20585627</v>
      </c>
      <c r="C1388" s="1" t="s">
        <v>7420</v>
      </c>
      <c r="E1388" s="21">
        <v>357</v>
      </c>
      <c r="G1388" s="1" t="s">
        <v>6978</v>
      </c>
      <c r="H1388" s="1" t="s">
        <v>6979</v>
      </c>
      <c r="I1388" s="5">
        <v>40353</v>
      </c>
      <c r="J1388" s="18" t="s">
        <v>11</v>
      </c>
      <c r="K1388" s="1" t="s">
        <v>65</v>
      </c>
      <c r="L1388" s="1" t="s">
        <v>1585</v>
      </c>
      <c r="M1388" s="5"/>
      <c r="N1388" s="5" t="s">
        <v>10</v>
      </c>
      <c r="O1388" s="5" t="s">
        <v>10</v>
      </c>
      <c r="P1388" s="1" t="s">
        <v>5411</v>
      </c>
      <c r="Q1388" s="1" t="s">
        <v>33</v>
      </c>
      <c r="R1388" s="2" t="s">
        <v>4606</v>
      </c>
      <c r="S1388" s="1" t="s">
        <v>6243</v>
      </c>
      <c r="T1388" s="1">
        <v>9126</v>
      </c>
      <c r="U1388" s="1">
        <v>9126</v>
      </c>
      <c r="V1388" s="1">
        <v>9126</v>
      </c>
    </row>
    <row r="1389" spans="1:44" x14ac:dyDescent="0.2">
      <c r="A1389" s="1" t="s">
        <v>1141</v>
      </c>
      <c r="B1389" s="1">
        <v>20595579</v>
      </c>
      <c r="C1389" s="1" t="s">
        <v>7420</v>
      </c>
      <c r="E1389" s="21">
        <v>70</v>
      </c>
      <c r="G1389" s="1" t="s">
        <v>1576</v>
      </c>
      <c r="H1389" s="1" t="s">
        <v>2428</v>
      </c>
      <c r="I1389" s="5">
        <v>40360</v>
      </c>
      <c r="J1389" s="18" t="s">
        <v>10</v>
      </c>
      <c r="K1389" s="1" t="s">
        <v>25</v>
      </c>
      <c r="L1389" s="1" t="s">
        <v>1575</v>
      </c>
      <c r="M1389" s="5"/>
      <c r="N1389" s="5" t="s">
        <v>10</v>
      </c>
      <c r="O1389" s="5" t="s">
        <v>10</v>
      </c>
      <c r="P1389" s="1" t="s">
        <v>6148</v>
      </c>
      <c r="Q1389" s="1" t="s">
        <v>6149</v>
      </c>
      <c r="R1389" s="2" t="s">
        <v>4857</v>
      </c>
      <c r="S1389" s="1" t="s">
        <v>6243</v>
      </c>
      <c r="T1389" s="1">
        <v>2322</v>
      </c>
      <c r="U1389" s="1">
        <v>1727</v>
      </c>
      <c r="V1389" s="1">
        <v>1727</v>
      </c>
      <c r="AH1389" s="1">
        <v>595</v>
      </c>
      <c r="AI1389" s="1">
        <v>595</v>
      </c>
    </row>
    <row r="1390" spans="1:44" x14ac:dyDescent="0.2">
      <c r="A1390" s="1" t="s">
        <v>1581</v>
      </c>
      <c r="B1390" s="1">
        <v>20595679</v>
      </c>
      <c r="C1390" s="1" t="s">
        <v>7420</v>
      </c>
      <c r="E1390" s="21">
        <v>60</v>
      </c>
      <c r="G1390" s="1" t="s">
        <v>6877</v>
      </c>
      <c r="H1390" s="1" t="s">
        <v>13</v>
      </c>
      <c r="I1390" s="5">
        <v>40360</v>
      </c>
      <c r="J1390" s="18" t="s">
        <v>11</v>
      </c>
      <c r="K1390" s="1" t="s">
        <v>1551</v>
      </c>
      <c r="L1390" s="1" t="s">
        <v>1580</v>
      </c>
      <c r="M1390" s="5"/>
      <c r="N1390" s="5" t="s">
        <v>10</v>
      </c>
      <c r="O1390" s="5" t="s">
        <v>10</v>
      </c>
      <c r="P1390" s="1" t="s">
        <v>4482</v>
      </c>
      <c r="Q1390" s="1" t="s">
        <v>33</v>
      </c>
      <c r="R1390" s="2" t="s">
        <v>6035</v>
      </c>
      <c r="S1390" s="1" t="s">
        <v>6243</v>
      </c>
      <c r="T1390" s="1">
        <v>5757</v>
      </c>
      <c r="U1390" s="1">
        <v>5757</v>
      </c>
      <c r="V1390" s="1">
        <v>5757</v>
      </c>
    </row>
    <row r="1391" spans="1:44" x14ac:dyDescent="0.2">
      <c r="A1391" s="1" t="s">
        <v>1578</v>
      </c>
      <c r="B1391" s="1">
        <v>20596022</v>
      </c>
      <c r="C1391" s="1" t="s">
        <v>7420</v>
      </c>
      <c r="E1391" s="21">
        <v>471</v>
      </c>
      <c r="G1391" s="1" t="s">
        <v>1579</v>
      </c>
      <c r="H1391" s="1" t="s">
        <v>571</v>
      </c>
      <c r="I1391" s="5">
        <v>40360</v>
      </c>
      <c r="J1391" s="18" t="s">
        <v>11</v>
      </c>
      <c r="K1391" s="1" t="s">
        <v>58</v>
      </c>
      <c r="L1391" s="1" t="s">
        <v>1577</v>
      </c>
      <c r="M1391" s="5"/>
      <c r="N1391" s="5" t="s">
        <v>10</v>
      </c>
      <c r="O1391" s="5" t="s">
        <v>10</v>
      </c>
      <c r="P1391" s="1" t="s">
        <v>5430</v>
      </c>
      <c r="Q1391" s="1" t="s">
        <v>33</v>
      </c>
      <c r="R1391" s="2" t="s">
        <v>4402</v>
      </c>
      <c r="S1391" s="1" t="s">
        <v>6243</v>
      </c>
      <c r="T1391" s="1">
        <v>4332</v>
      </c>
      <c r="U1391" s="1">
        <v>4332</v>
      </c>
      <c r="V1391" s="1">
        <v>4332</v>
      </c>
    </row>
    <row r="1392" spans="1:44" x14ac:dyDescent="0.2">
      <c r="A1392" s="1" t="s">
        <v>1574</v>
      </c>
      <c r="B1392" s="1">
        <v>20598377</v>
      </c>
      <c r="C1392" s="1" t="s">
        <v>7420</v>
      </c>
      <c r="E1392" s="21">
        <v>109</v>
      </c>
      <c r="G1392" s="1" t="s">
        <v>175</v>
      </c>
      <c r="H1392" s="1" t="s">
        <v>7402</v>
      </c>
      <c r="I1392" s="5">
        <v>40359</v>
      </c>
      <c r="J1392" s="18" t="s">
        <v>11</v>
      </c>
      <c r="K1392" s="1" t="s">
        <v>1572</v>
      </c>
      <c r="L1392" s="1" t="s">
        <v>1573</v>
      </c>
      <c r="M1392" s="5"/>
      <c r="N1392" s="5" t="s">
        <v>10</v>
      </c>
      <c r="O1392" s="5" t="s">
        <v>10</v>
      </c>
      <c r="P1392" s="1" t="s">
        <v>6120</v>
      </c>
      <c r="Q1392" s="1" t="s">
        <v>33</v>
      </c>
      <c r="R1392" s="2" t="s">
        <v>4977</v>
      </c>
      <c r="S1392" s="1" t="s">
        <v>6243</v>
      </c>
      <c r="T1392" s="1">
        <v>1415</v>
      </c>
      <c r="U1392" s="1">
        <v>1415</v>
      </c>
      <c r="V1392" s="1">
        <v>1415</v>
      </c>
    </row>
    <row r="1393" spans="1:42" x14ac:dyDescent="0.2">
      <c r="A1393" s="1" t="s">
        <v>1565</v>
      </c>
      <c r="B1393" s="1">
        <v>20600896</v>
      </c>
      <c r="C1393" s="1" t="s">
        <v>7420</v>
      </c>
      <c r="E1393" s="21">
        <v>26</v>
      </c>
      <c r="G1393" s="1" t="s">
        <v>1544</v>
      </c>
      <c r="H1393" s="1" t="s">
        <v>7219</v>
      </c>
      <c r="I1393" s="5">
        <v>40355</v>
      </c>
      <c r="J1393" s="18" t="s">
        <v>11</v>
      </c>
      <c r="K1393" s="1" t="s">
        <v>2878</v>
      </c>
      <c r="L1393" s="1" t="s">
        <v>2879</v>
      </c>
      <c r="M1393" s="5"/>
      <c r="N1393" s="5" t="s">
        <v>10</v>
      </c>
      <c r="O1393" s="5" t="s">
        <v>10</v>
      </c>
      <c r="P1393" s="1" t="s">
        <v>3170</v>
      </c>
      <c r="Q1393" s="1" t="s">
        <v>3171</v>
      </c>
      <c r="R1393" s="2" t="s">
        <v>4874</v>
      </c>
      <c r="S1393" s="1" t="s">
        <v>6270</v>
      </c>
      <c r="T1393" s="1">
        <v>1419</v>
      </c>
      <c r="U1393" s="1">
        <v>229</v>
      </c>
      <c r="Z1393" s="1">
        <v>229</v>
      </c>
      <c r="AH1393" s="1">
        <v>1190</v>
      </c>
      <c r="AM1393" s="1">
        <v>1190</v>
      </c>
    </row>
    <row r="1394" spans="1:42" x14ac:dyDescent="0.2">
      <c r="A1394" s="1" t="s">
        <v>1607</v>
      </c>
      <c r="B1394" s="1">
        <v>20601957</v>
      </c>
      <c r="C1394" s="1" t="s">
        <v>7420</v>
      </c>
      <c r="E1394" s="21">
        <v>100</v>
      </c>
      <c r="G1394" s="1" t="s">
        <v>1608</v>
      </c>
      <c r="H1394" s="1" t="s">
        <v>7032</v>
      </c>
      <c r="I1394" s="5">
        <v>40363</v>
      </c>
      <c r="J1394" s="18" t="s">
        <v>11</v>
      </c>
      <c r="K1394" s="1" t="s">
        <v>28</v>
      </c>
      <c r="L1394" s="1" t="s">
        <v>1606</v>
      </c>
      <c r="M1394" s="5"/>
      <c r="N1394" s="5" t="s">
        <v>11</v>
      </c>
      <c r="O1394" s="5" t="s">
        <v>11</v>
      </c>
      <c r="P1394" s="1" t="s">
        <v>3989</v>
      </c>
      <c r="Q1394" s="1" t="s">
        <v>4330</v>
      </c>
      <c r="R1394" s="2" t="s">
        <v>4969</v>
      </c>
      <c r="S1394" s="1" t="s">
        <v>6242</v>
      </c>
      <c r="T1394" s="1">
        <v>7199</v>
      </c>
      <c r="U1394" s="1">
        <v>2741</v>
      </c>
      <c r="X1394" s="1">
        <v>2741</v>
      </c>
      <c r="AH1394" s="1">
        <v>4458</v>
      </c>
      <c r="AK1394" s="1">
        <v>4458</v>
      </c>
    </row>
    <row r="1395" spans="1:42" x14ac:dyDescent="0.2">
      <c r="A1395" s="1" t="s">
        <v>1628</v>
      </c>
      <c r="B1395" s="1">
        <v>20602913</v>
      </c>
      <c r="C1395" s="1" t="s">
        <v>7420</v>
      </c>
      <c r="E1395" s="21">
        <v>6</v>
      </c>
      <c r="G1395" s="1" t="s">
        <v>1629</v>
      </c>
      <c r="H1395" s="1" t="s">
        <v>7299</v>
      </c>
      <c r="I1395" s="5">
        <v>40346</v>
      </c>
      <c r="J1395" s="18" t="s">
        <v>11</v>
      </c>
      <c r="K1395" s="1" t="s">
        <v>16</v>
      </c>
      <c r="L1395" s="1" t="s">
        <v>1627</v>
      </c>
      <c r="M1395" s="5"/>
      <c r="N1395" s="5" t="s">
        <v>10</v>
      </c>
      <c r="O1395" s="5" t="s">
        <v>10</v>
      </c>
      <c r="P1395" s="1" t="s">
        <v>6076</v>
      </c>
      <c r="Q1395" s="1" t="s">
        <v>4180</v>
      </c>
      <c r="R1395" s="2" t="s">
        <v>4896</v>
      </c>
      <c r="S1395" s="1" t="s">
        <v>6243</v>
      </c>
      <c r="T1395" s="1">
        <v>5527</v>
      </c>
      <c r="U1395" s="1">
        <v>1810</v>
      </c>
      <c r="V1395" s="1">
        <v>1810</v>
      </c>
      <c r="AH1395" s="1">
        <v>3717</v>
      </c>
      <c r="AI1395" s="1">
        <v>3717</v>
      </c>
    </row>
    <row r="1396" spans="1:42" x14ac:dyDescent="0.2">
      <c r="A1396" s="1" t="s">
        <v>1681</v>
      </c>
      <c r="B1396" s="1">
        <v>20610541</v>
      </c>
      <c r="C1396" s="1" t="s">
        <v>7420</v>
      </c>
      <c r="E1396" s="21">
        <v>16</v>
      </c>
      <c r="G1396" s="1" t="s">
        <v>145</v>
      </c>
      <c r="H1396" s="1" t="s">
        <v>146</v>
      </c>
      <c r="I1396" s="5">
        <v>40366</v>
      </c>
      <c r="J1396" s="18" t="s">
        <v>11</v>
      </c>
      <c r="K1396" s="1" t="s">
        <v>1679</v>
      </c>
      <c r="L1396" s="1" t="s">
        <v>1680</v>
      </c>
      <c r="M1396" s="5"/>
      <c r="N1396" s="5" t="s">
        <v>10</v>
      </c>
      <c r="O1396" s="5" t="s">
        <v>10</v>
      </c>
      <c r="P1396" s="1" t="s">
        <v>4066</v>
      </c>
      <c r="Q1396" s="1" t="s">
        <v>4750</v>
      </c>
      <c r="R1396" s="2" t="s">
        <v>5013</v>
      </c>
      <c r="S1396" s="1" t="s">
        <v>6243</v>
      </c>
      <c r="T1396" s="1">
        <v>14708</v>
      </c>
      <c r="U1396" s="1">
        <v>1634</v>
      </c>
      <c r="V1396" s="1">
        <v>1634</v>
      </c>
      <c r="AH1396" s="1">
        <v>13074</v>
      </c>
      <c r="AI1396" s="1">
        <v>13074</v>
      </c>
    </row>
    <row r="1397" spans="1:42" x14ac:dyDescent="0.2">
      <c r="A1397" s="1" t="s">
        <v>1684</v>
      </c>
      <c r="B1397" s="1">
        <v>20610895</v>
      </c>
      <c r="C1397" s="1" t="s">
        <v>7420</v>
      </c>
      <c r="E1397" s="21">
        <v>22</v>
      </c>
      <c r="G1397" s="1" t="s">
        <v>1685</v>
      </c>
      <c r="H1397" s="1" t="s">
        <v>7192</v>
      </c>
      <c r="I1397" s="5">
        <v>40361</v>
      </c>
      <c r="J1397" s="18" t="s">
        <v>11</v>
      </c>
      <c r="K1397" s="1" t="s">
        <v>1682</v>
      </c>
      <c r="L1397" s="1" t="s">
        <v>1683</v>
      </c>
      <c r="M1397" s="5"/>
      <c r="N1397" s="5" t="s">
        <v>10</v>
      </c>
      <c r="O1397" s="5" t="s">
        <v>10</v>
      </c>
      <c r="P1397" s="1" t="s">
        <v>4039</v>
      </c>
      <c r="Q1397" s="1" t="s">
        <v>4040</v>
      </c>
      <c r="R1397" s="2" t="s">
        <v>4189</v>
      </c>
      <c r="S1397" s="1" t="s">
        <v>6242</v>
      </c>
      <c r="T1397" s="1">
        <v>3792</v>
      </c>
      <c r="U1397" s="1">
        <v>1553</v>
      </c>
      <c r="X1397" s="1">
        <v>1553</v>
      </c>
      <c r="AH1397" s="1">
        <v>2239</v>
      </c>
      <c r="AK1397" s="1">
        <v>2239</v>
      </c>
    </row>
    <row r="1398" spans="1:42" x14ac:dyDescent="0.2">
      <c r="A1398" s="1" t="s">
        <v>1689</v>
      </c>
      <c r="B1398" s="1">
        <v>20613766</v>
      </c>
      <c r="C1398" s="1" t="s">
        <v>7420</v>
      </c>
      <c r="E1398" s="21">
        <v>761</v>
      </c>
      <c r="G1398" s="1" t="s">
        <v>604</v>
      </c>
      <c r="H1398" s="1" t="s">
        <v>7404</v>
      </c>
      <c r="I1398" s="5">
        <v>40367</v>
      </c>
      <c r="J1398" s="18" t="s">
        <v>11</v>
      </c>
      <c r="K1398" s="1" t="s">
        <v>689</v>
      </c>
      <c r="L1398" s="1" t="s">
        <v>1686</v>
      </c>
      <c r="M1398" s="5"/>
      <c r="N1398" s="5" t="s">
        <v>10</v>
      </c>
      <c r="O1398" s="5" t="s">
        <v>10</v>
      </c>
      <c r="P1398" s="1" t="s">
        <v>1687</v>
      </c>
      <c r="Q1398" s="1" t="s">
        <v>1688</v>
      </c>
      <c r="R1398" s="2" t="s">
        <v>5010</v>
      </c>
      <c r="S1398" s="1" t="s">
        <v>6242</v>
      </c>
      <c r="T1398" s="1">
        <v>1880</v>
      </c>
      <c r="U1398" s="1">
        <v>482</v>
      </c>
      <c r="X1398" s="1">
        <v>482</v>
      </c>
      <c r="AH1398" s="1">
        <v>1398</v>
      </c>
      <c r="AK1398" s="1">
        <v>1398</v>
      </c>
    </row>
    <row r="1399" spans="1:42" x14ac:dyDescent="0.2">
      <c r="A1399" s="1" t="s">
        <v>1355</v>
      </c>
      <c r="B1399" s="1">
        <v>20619826</v>
      </c>
      <c r="C1399" s="1" t="s">
        <v>7420</v>
      </c>
      <c r="E1399" s="21">
        <v>15</v>
      </c>
      <c r="G1399" s="1" t="s">
        <v>7069</v>
      </c>
      <c r="H1399" s="1" t="s">
        <v>6796</v>
      </c>
      <c r="I1399" s="5">
        <v>40436</v>
      </c>
      <c r="J1399" s="18" t="s">
        <v>10</v>
      </c>
      <c r="K1399" s="1" t="s">
        <v>1128</v>
      </c>
      <c r="L1399" s="1" t="s">
        <v>2880</v>
      </c>
      <c r="M1399" s="5"/>
      <c r="N1399" s="5" t="s">
        <v>10</v>
      </c>
      <c r="O1399" s="5" t="s">
        <v>10</v>
      </c>
      <c r="P1399" s="1" t="s">
        <v>5458</v>
      </c>
      <c r="Q1399" s="1" t="s">
        <v>33</v>
      </c>
      <c r="R1399" s="2" t="s">
        <v>4963</v>
      </c>
      <c r="S1399" s="1" t="s">
        <v>6244</v>
      </c>
      <c r="T1399" s="1">
        <v>2234</v>
      </c>
      <c r="U1399" s="1">
        <v>2234</v>
      </c>
      <c r="V1399" s="1">
        <v>1636</v>
      </c>
      <c r="W1399" s="1">
        <v>334</v>
      </c>
      <c r="Z1399" s="1">
        <v>264</v>
      </c>
    </row>
    <row r="1400" spans="1:42" x14ac:dyDescent="0.2">
      <c r="A1400" s="1" t="s">
        <v>1601</v>
      </c>
      <c r="B1400" s="1">
        <v>20622878</v>
      </c>
      <c r="C1400" s="1" t="s">
        <v>7420</v>
      </c>
      <c r="E1400" s="21">
        <v>76</v>
      </c>
      <c r="G1400" s="1" t="s">
        <v>874</v>
      </c>
      <c r="H1400" s="1" t="s">
        <v>492</v>
      </c>
      <c r="I1400" s="5">
        <v>40370</v>
      </c>
      <c r="J1400" s="18" t="s">
        <v>11</v>
      </c>
      <c r="K1400" s="1" t="s">
        <v>28</v>
      </c>
      <c r="L1400" s="1" t="s">
        <v>1600</v>
      </c>
      <c r="M1400" s="5"/>
      <c r="N1400" s="5" t="s">
        <v>10</v>
      </c>
      <c r="O1400" s="5" t="s">
        <v>10</v>
      </c>
      <c r="P1400" s="1" t="s">
        <v>3974</v>
      </c>
      <c r="Q1400" s="1" t="s">
        <v>5501</v>
      </c>
      <c r="R1400" s="2" t="s">
        <v>3975</v>
      </c>
      <c r="S1400" s="1" t="s">
        <v>6244</v>
      </c>
      <c r="T1400" s="1">
        <v>5089</v>
      </c>
      <c r="U1400" s="1">
        <v>2493</v>
      </c>
      <c r="AC1400" s="1">
        <v>2493</v>
      </c>
      <c r="AH1400" s="1">
        <v>2596</v>
      </c>
      <c r="AI1400" s="1">
        <v>430</v>
      </c>
      <c r="AK1400" s="1">
        <v>1479</v>
      </c>
      <c r="AP1400" s="1">
        <v>687</v>
      </c>
    </row>
    <row r="1401" spans="1:42" x14ac:dyDescent="0.2">
      <c r="A1401" s="1" t="s">
        <v>1605</v>
      </c>
      <c r="B1401" s="1">
        <v>20622879</v>
      </c>
      <c r="C1401" s="1" t="s">
        <v>7420</v>
      </c>
      <c r="E1401" s="21">
        <v>157</v>
      </c>
      <c r="G1401" s="1" t="s">
        <v>874</v>
      </c>
      <c r="H1401" s="1" t="s">
        <v>492</v>
      </c>
      <c r="I1401" s="5">
        <v>40370</v>
      </c>
      <c r="J1401" s="18" t="s">
        <v>11</v>
      </c>
      <c r="K1401" s="1" t="s">
        <v>28</v>
      </c>
      <c r="L1401" s="1" t="s">
        <v>1602</v>
      </c>
      <c r="M1401" s="5"/>
      <c r="N1401" s="5" t="s">
        <v>10</v>
      </c>
      <c r="O1401" s="5" t="s">
        <v>10</v>
      </c>
      <c r="P1401" s="1" t="s">
        <v>1603</v>
      </c>
      <c r="Q1401" s="1" t="s">
        <v>1604</v>
      </c>
      <c r="R1401" s="2" t="s">
        <v>5026</v>
      </c>
      <c r="S1401" s="1" t="s">
        <v>6242</v>
      </c>
      <c r="T1401" s="1">
        <v>1607</v>
      </c>
      <c r="U1401" s="1">
        <v>1348</v>
      </c>
      <c r="X1401" s="1">
        <v>1348</v>
      </c>
      <c r="AH1401" s="1">
        <v>259</v>
      </c>
      <c r="AK1401" s="1">
        <v>259</v>
      </c>
    </row>
    <row r="1402" spans="1:42" x14ac:dyDescent="0.2">
      <c r="A1402" s="1" t="s">
        <v>1596</v>
      </c>
      <c r="B1402" s="1">
        <v>20622880</v>
      </c>
      <c r="C1402" s="1" t="s">
        <v>7420</v>
      </c>
      <c r="E1402" s="21">
        <v>19</v>
      </c>
      <c r="G1402" s="1" t="s">
        <v>1597</v>
      </c>
      <c r="H1402" s="1" t="s">
        <v>7191</v>
      </c>
      <c r="I1402" s="5">
        <v>40370</v>
      </c>
      <c r="J1402" s="18" t="s">
        <v>11</v>
      </c>
      <c r="K1402" s="1" t="s">
        <v>28</v>
      </c>
      <c r="L1402" s="1" t="s">
        <v>1593</v>
      </c>
      <c r="M1402" s="5"/>
      <c r="N1402" s="5" t="s">
        <v>10</v>
      </c>
      <c r="O1402" s="5" t="s">
        <v>10</v>
      </c>
      <c r="P1402" s="1" t="s">
        <v>1594</v>
      </c>
      <c r="Q1402" s="1" t="s">
        <v>1595</v>
      </c>
      <c r="R1402" s="2" t="s">
        <v>4778</v>
      </c>
      <c r="S1402" s="1" t="s">
        <v>6243</v>
      </c>
      <c r="T1402" s="1">
        <v>1509</v>
      </c>
      <c r="U1402" s="1">
        <v>972</v>
      </c>
      <c r="V1402" s="1">
        <v>972</v>
      </c>
      <c r="AH1402" s="1">
        <v>537</v>
      </c>
      <c r="AI1402" s="1">
        <v>537</v>
      </c>
    </row>
    <row r="1403" spans="1:42" x14ac:dyDescent="0.2">
      <c r="A1403" s="1" t="s">
        <v>1599</v>
      </c>
      <c r="B1403" s="1">
        <v>20622881</v>
      </c>
      <c r="C1403" s="1" t="s">
        <v>7420</v>
      </c>
      <c r="E1403" s="21">
        <v>33</v>
      </c>
      <c r="G1403" s="1" t="s">
        <v>932</v>
      </c>
      <c r="H1403" s="1" t="s">
        <v>7197</v>
      </c>
      <c r="I1403" s="5">
        <v>40370</v>
      </c>
      <c r="J1403" s="18" t="s">
        <v>11</v>
      </c>
      <c r="K1403" s="1" t="s">
        <v>28</v>
      </c>
      <c r="L1403" s="1" t="s">
        <v>1598</v>
      </c>
      <c r="M1403" s="5"/>
      <c r="N1403" s="5" t="s">
        <v>10</v>
      </c>
      <c r="O1403" s="5" t="s">
        <v>10</v>
      </c>
      <c r="P1403" s="1" t="s">
        <v>4756</v>
      </c>
      <c r="Q1403" s="1" t="s">
        <v>5294</v>
      </c>
      <c r="R1403" s="2" t="s">
        <v>4377</v>
      </c>
      <c r="S1403" s="1" t="s">
        <v>6243</v>
      </c>
      <c r="T1403" s="1">
        <v>42513</v>
      </c>
      <c r="U1403" s="1">
        <v>31795</v>
      </c>
      <c r="V1403" s="1">
        <v>31795</v>
      </c>
      <c r="AH1403" s="1">
        <v>10718</v>
      </c>
      <c r="AI1403" s="1">
        <v>10718</v>
      </c>
    </row>
    <row r="1404" spans="1:42" x14ac:dyDescent="0.2">
      <c r="A1404" s="1" t="s">
        <v>2336</v>
      </c>
      <c r="B1404" s="1">
        <v>20628086</v>
      </c>
      <c r="C1404" s="1" t="s">
        <v>7420</v>
      </c>
      <c r="D1404" s="1" t="s">
        <v>7411</v>
      </c>
      <c r="E1404" s="21">
        <v>1</v>
      </c>
      <c r="G1404" s="1" t="s">
        <v>2337</v>
      </c>
      <c r="H1404" s="1" t="s">
        <v>7395</v>
      </c>
      <c r="I1404" s="5">
        <v>40372</v>
      </c>
      <c r="J1404" s="18" t="s">
        <v>10</v>
      </c>
      <c r="K1404" s="1" t="s">
        <v>2881</v>
      </c>
      <c r="L1404" s="1" t="s">
        <v>2882</v>
      </c>
      <c r="M1404" s="5"/>
      <c r="N1404" s="5" t="s">
        <v>10</v>
      </c>
      <c r="O1404" s="5" t="s">
        <v>10</v>
      </c>
      <c r="P1404" s="1" t="s">
        <v>3216</v>
      </c>
      <c r="Q1404" s="1" t="s">
        <v>33</v>
      </c>
      <c r="R1404" s="6" t="s">
        <v>3217</v>
      </c>
      <c r="S1404" s="1" t="s">
        <v>6243</v>
      </c>
      <c r="T1404" s="1">
        <v>1921</v>
      </c>
      <c r="U1404" s="1">
        <v>1921</v>
      </c>
      <c r="V1404" s="1">
        <v>1921</v>
      </c>
    </row>
    <row r="1405" spans="1:42" x14ac:dyDescent="0.2">
      <c r="A1405" s="1" t="s">
        <v>1678</v>
      </c>
      <c r="B1405" s="1">
        <v>20634892</v>
      </c>
      <c r="C1405" s="1" t="s">
        <v>7420</v>
      </c>
      <c r="E1405" s="21">
        <v>8</v>
      </c>
      <c r="G1405" s="1" t="s">
        <v>178</v>
      </c>
      <c r="H1405" s="1" t="s">
        <v>179</v>
      </c>
      <c r="I1405" s="5">
        <v>40368</v>
      </c>
      <c r="J1405" s="18" t="s">
        <v>11</v>
      </c>
      <c r="K1405" s="1" t="s">
        <v>181</v>
      </c>
      <c r="L1405" s="1" t="s">
        <v>1677</v>
      </c>
      <c r="M1405" s="5"/>
      <c r="N1405" s="5" t="s">
        <v>10</v>
      </c>
      <c r="O1405" s="5" t="s">
        <v>10</v>
      </c>
      <c r="P1405" s="1" t="s">
        <v>6220</v>
      </c>
      <c r="Q1405" s="1" t="s">
        <v>33</v>
      </c>
      <c r="R1405" s="2" t="s">
        <v>4568</v>
      </c>
      <c r="S1405" s="1" t="s">
        <v>6243</v>
      </c>
      <c r="T1405" s="1">
        <v>2235</v>
      </c>
      <c r="U1405" s="1">
        <v>2235</v>
      </c>
      <c r="V1405" s="1">
        <v>2235</v>
      </c>
    </row>
    <row r="1406" spans="1:42" x14ac:dyDescent="0.2">
      <c r="A1406" s="1" t="s">
        <v>1676</v>
      </c>
      <c r="B1406" s="1">
        <v>20637204</v>
      </c>
      <c r="C1406" s="1" t="s">
        <v>7420</v>
      </c>
      <c r="E1406" s="21">
        <v>4</v>
      </c>
      <c r="G1406" s="1" t="s">
        <v>6948</v>
      </c>
      <c r="H1406" s="1" t="s">
        <v>7129</v>
      </c>
      <c r="I1406" s="5">
        <v>40373</v>
      </c>
      <c r="J1406" s="18" t="s">
        <v>11</v>
      </c>
      <c r="K1406" s="1" t="s">
        <v>477</v>
      </c>
      <c r="L1406" s="1" t="s">
        <v>1673</v>
      </c>
      <c r="M1406" s="5"/>
      <c r="N1406" s="5" t="s">
        <v>10</v>
      </c>
      <c r="O1406" s="5" t="s">
        <v>10</v>
      </c>
      <c r="P1406" s="1" t="s">
        <v>1674</v>
      </c>
      <c r="Q1406" s="1" t="s">
        <v>1675</v>
      </c>
      <c r="R1406" s="2" t="s">
        <v>5000</v>
      </c>
      <c r="S1406" s="1" t="s">
        <v>6242</v>
      </c>
      <c r="T1406" s="1">
        <v>923</v>
      </c>
      <c r="U1406" s="1">
        <v>453</v>
      </c>
      <c r="X1406" s="1">
        <v>453</v>
      </c>
      <c r="AH1406" s="1">
        <v>470</v>
      </c>
      <c r="AK1406" s="1">
        <v>470</v>
      </c>
    </row>
    <row r="1407" spans="1:42" x14ac:dyDescent="0.2">
      <c r="A1407" s="1" t="s">
        <v>1625</v>
      </c>
      <c r="B1407" s="1">
        <v>20639392</v>
      </c>
      <c r="C1407" s="1" t="s">
        <v>7420</v>
      </c>
      <c r="E1407" s="21">
        <v>158</v>
      </c>
      <c r="G1407" s="1" t="s">
        <v>1626</v>
      </c>
      <c r="H1407" s="1" t="s">
        <v>7314</v>
      </c>
      <c r="I1407" s="5">
        <v>40391</v>
      </c>
      <c r="J1407" s="18" t="s">
        <v>11</v>
      </c>
      <c r="K1407" s="1" t="s">
        <v>103</v>
      </c>
      <c r="L1407" s="1" t="s">
        <v>1624</v>
      </c>
      <c r="M1407" s="5"/>
      <c r="N1407" s="5" t="s">
        <v>10</v>
      </c>
      <c r="O1407" s="5" t="s">
        <v>10</v>
      </c>
      <c r="P1407" s="1" t="s">
        <v>5264</v>
      </c>
      <c r="Q1407" s="1" t="s">
        <v>33</v>
      </c>
      <c r="R1407" s="2" t="s">
        <v>868</v>
      </c>
      <c r="S1407" s="1" t="s">
        <v>6243</v>
      </c>
      <c r="T1407" s="1">
        <v>38991</v>
      </c>
      <c r="U1407" s="1">
        <v>38991</v>
      </c>
      <c r="V1407" s="1">
        <v>38991</v>
      </c>
    </row>
    <row r="1408" spans="1:42" x14ac:dyDescent="0.2">
      <c r="A1408" s="1" t="s">
        <v>1445</v>
      </c>
      <c r="B1408" s="1">
        <v>20639394</v>
      </c>
      <c r="C1408" s="1" t="s">
        <v>7420</v>
      </c>
      <c r="E1408" s="21">
        <v>209</v>
      </c>
      <c r="G1408" s="1" t="s">
        <v>6710</v>
      </c>
      <c r="H1408" s="1" t="s">
        <v>7215</v>
      </c>
      <c r="I1408" s="5">
        <v>40378</v>
      </c>
      <c r="J1408" s="18" t="s">
        <v>10</v>
      </c>
      <c r="K1408" s="1" t="s">
        <v>103</v>
      </c>
      <c r="L1408" s="1" t="s">
        <v>2883</v>
      </c>
      <c r="M1408" s="5"/>
      <c r="N1408" s="5" t="s">
        <v>10</v>
      </c>
      <c r="O1408" s="5" t="s">
        <v>10</v>
      </c>
      <c r="P1408" s="1" t="s">
        <v>3181</v>
      </c>
      <c r="Q1408" s="1" t="s">
        <v>3182</v>
      </c>
      <c r="R1408" s="2" t="s">
        <v>5990</v>
      </c>
      <c r="S1408" s="1" t="s">
        <v>6242</v>
      </c>
      <c r="T1408" s="1">
        <v>9937</v>
      </c>
      <c r="U1408" s="1">
        <v>8841</v>
      </c>
      <c r="X1408" s="1">
        <v>8841</v>
      </c>
      <c r="AH1408" s="1">
        <v>1096</v>
      </c>
      <c r="AK1408" s="1">
        <v>1096</v>
      </c>
    </row>
    <row r="1409" spans="1:44" x14ac:dyDescent="0.2">
      <c r="A1409" s="1" t="s">
        <v>1610</v>
      </c>
      <c r="B1409" s="1">
        <v>20639878</v>
      </c>
      <c r="C1409" s="1" t="s">
        <v>7420</v>
      </c>
      <c r="E1409" s="21">
        <v>67</v>
      </c>
      <c r="G1409" s="1" t="s">
        <v>1611</v>
      </c>
      <c r="H1409" s="1" t="s">
        <v>7136</v>
      </c>
      <c r="I1409" s="5">
        <v>40377</v>
      </c>
      <c r="J1409" s="18" t="s">
        <v>11</v>
      </c>
      <c r="K1409" s="1" t="s">
        <v>28</v>
      </c>
      <c r="L1409" s="1" t="s">
        <v>1609</v>
      </c>
      <c r="M1409" s="5"/>
      <c r="N1409" s="5" t="s">
        <v>10</v>
      </c>
      <c r="O1409" s="5" t="s">
        <v>10</v>
      </c>
      <c r="P1409" s="1" t="s">
        <v>6401</v>
      </c>
      <c r="Q1409" s="1" t="s">
        <v>6402</v>
      </c>
      <c r="R1409" s="2" t="s">
        <v>4144</v>
      </c>
      <c r="S1409" s="1" t="s">
        <v>6244</v>
      </c>
      <c r="T1409" s="1">
        <v>714</v>
      </c>
      <c r="U1409" s="1">
        <v>217</v>
      </c>
      <c r="V1409" s="1">
        <v>184</v>
      </c>
      <c r="Z1409" s="1">
        <v>31</v>
      </c>
      <c r="AE1409" s="1">
        <v>2</v>
      </c>
      <c r="AH1409" s="1">
        <v>497</v>
      </c>
      <c r="AI1409" s="1">
        <v>421</v>
      </c>
      <c r="AM1409" s="1">
        <v>69</v>
      </c>
      <c r="AR1409" s="1">
        <v>7</v>
      </c>
    </row>
    <row r="1410" spans="1:44" x14ac:dyDescent="0.2">
      <c r="A1410" s="1" t="s">
        <v>45</v>
      </c>
      <c r="B1410" s="1">
        <v>20639880</v>
      </c>
      <c r="C1410" s="1" t="s">
        <v>7420</v>
      </c>
      <c r="E1410" s="21">
        <v>525</v>
      </c>
      <c r="G1410" s="1" t="s">
        <v>896</v>
      </c>
      <c r="H1410" s="1" t="s">
        <v>897</v>
      </c>
      <c r="I1410" s="5">
        <v>40377</v>
      </c>
      <c r="J1410" s="18" t="s">
        <v>11</v>
      </c>
      <c r="K1410" s="1" t="s">
        <v>28</v>
      </c>
      <c r="L1410" s="1" t="s">
        <v>1590</v>
      </c>
      <c r="M1410" s="5"/>
      <c r="N1410" s="5" t="s">
        <v>10</v>
      </c>
      <c r="O1410" s="5" t="s">
        <v>10</v>
      </c>
      <c r="P1410" s="1" t="s">
        <v>3447</v>
      </c>
      <c r="Q1410" s="1" t="s">
        <v>4378</v>
      </c>
      <c r="R1410" s="2" t="s">
        <v>4677</v>
      </c>
      <c r="S1410" s="1" t="s">
        <v>6243</v>
      </c>
      <c r="T1410" s="1">
        <v>5585</v>
      </c>
      <c r="U1410" s="1">
        <v>1398</v>
      </c>
      <c r="V1410" s="1">
        <v>1398</v>
      </c>
      <c r="AH1410" s="1">
        <v>4187</v>
      </c>
      <c r="AI1410" s="1">
        <v>4187</v>
      </c>
    </row>
    <row r="1411" spans="1:44" x14ac:dyDescent="0.2">
      <c r="A1411" s="1" t="s">
        <v>1592</v>
      </c>
      <c r="B1411" s="1">
        <v>20639881</v>
      </c>
      <c r="C1411" s="1" t="s">
        <v>7420</v>
      </c>
      <c r="E1411" s="21">
        <v>173</v>
      </c>
      <c r="G1411" s="1" t="s">
        <v>6821</v>
      </c>
      <c r="H1411" s="1" t="s">
        <v>6820</v>
      </c>
      <c r="I1411" s="5">
        <v>40377</v>
      </c>
      <c r="J1411" s="18" t="s">
        <v>11</v>
      </c>
      <c r="K1411" s="1" t="s">
        <v>28</v>
      </c>
      <c r="L1411" s="1" t="s">
        <v>1591</v>
      </c>
      <c r="M1411" s="5"/>
      <c r="N1411" s="5" t="s">
        <v>10</v>
      </c>
      <c r="O1411" s="5" t="s">
        <v>10</v>
      </c>
      <c r="P1411" s="1" t="s">
        <v>5570</v>
      </c>
      <c r="Q1411" s="1" t="s">
        <v>5571</v>
      </c>
      <c r="R1411" s="2" t="s">
        <v>4262</v>
      </c>
      <c r="S1411" s="1" t="s">
        <v>6243</v>
      </c>
      <c r="T1411" s="1">
        <v>10803</v>
      </c>
      <c r="U1411" s="1">
        <v>1431</v>
      </c>
      <c r="V1411" s="1">
        <v>1431</v>
      </c>
      <c r="AH1411" s="1">
        <v>9372</v>
      </c>
      <c r="AI1411" s="1">
        <v>9372</v>
      </c>
    </row>
    <row r="1412" spans="1:44" x14ac:dyDescent="0.2">
      <c r="A1412" s="1" t="s">
        <v>1694</v>
      </c>
      <c r="B1412" s="1">
        <v>20657596</v>
      </c>
      <c r="C1412" s="1" t="s">
        <v>7420</v>
      </c>
      <c r="E1412" s="21">
        <v>5</v>
      </c>
      <c r="G1412" s="1" t="s">
        <v>6815</v>
      </c>
      <c r="H1412" s="1" t="s">
        <v>7275</v>
      </c>
      <c r="I1412" s="5">
        <v>40384</v>
      </c>
      <c r="J1412" s="18" t="s">
        <v>11</v>
      </c>
      <c r="K1412" s="1" t="s">
        <v>28</v>
      </c>
      <c r="L1412" s="1" t="s">
        <v>1692</v>
      </c>
      <c r="M1412" s="5"/>
      <c r="N1412" s="5" t="s">
        <v>10</v>
      </c>
      <c r="O1412" s="5" t="s">
        <v>10</v>
      </c>
      <c r="P1412" s="1" t="s">
        <v>5296</v>
      </c>
      <c r="Q1412" s="1" t="s">
        <v>33</v>
      </c>
      <c r="R1412" s="2" t="s">
        <v>1693</v>
      </c>
      <c r="S1412" s="1" t="s">
        <v>6243</v>
      </c>
      <c r="T1412" s="1">
        <v>1660</v>
      </c>
      <c r="U1412" s="1">
        <v>1660</v>
      </c>
      <c r="V1412" s="1">
        <v>1660</v>
      </c>
    </row>
    <row r="1413" spans="1:44" x14ac:dyDescent="0.2">
      <c r="A1413" s="1" t="s">
        <v>1789</v>
      </c>
      <c r="B1413" s="1">
        <v>20657648</v>
      </c>
      <c r="C1413" s="1" t="s">
        <v>7420</v>
      </c>
      <c r="D1413" s="1" t="s">
        <v>7411</v>
      </c>
      <c r="E1413" s="21">
        <v>2</v>
      </c>
      <c r="G1413" s="1" t="s">
        <v>1790</v>
      </c>
      <c r="H1413" s="1" t="s">
        <v>904</v>
      </c>
      <c r="I1413" s="5">
        <v>40374</v>
      </c>
      <c r="J1413" s="18" t="s">
        <v>10</v>
      </c>
      <c r="K1413" s="1" t="s">
        <v>181</v>
      </c>
      <c r="L1413" s="1" t="s">
        <v>2884</v>
      </c>
      <c r="M1413" s="5" t="s">
        <v>3374</v>
      </c>
      <c r="N1413" s="5" t="s">
        <v>10</v>
      </c>
      <c r="O1413" s="5" t="s">
        <v>10</v>
      </c>
      <c r="P1413" s="1" t="s">
        <v>5477</v>
      </c>
      <c r="Q1413" s="1" t="s">
        <v>33</v>
      </c>
      <c r="R1413" s="2" t="s">
        <v>5903</v>
      </c>
      <c r="S1413" s="1" t="s">
        <v>6440</v>
      </c>
      <c r="T1413" s="1">
        <v>626</v>
      </c>
      <c r="U1413" s="1">
        <v>626</v>
      </c>
      <c r="W1413" s="1">
        <v>626</v>
      </c>
    </row>
    <row r="1414" spans="1:44" x14ac:dyDescent="0.2">
      <c r="A1414" s="1" t="s">
        <v>1788</v>
      </c>
      <c r="B1414" s="1">
        <v>20657766</v>
      </c>
      <c r="C1414" s="1" t="s">
        <v>7420</v>
      </c>
      <c r="E1414" s="21">
        <v>18</v>
      </c>
      <c r="F1414" s="17">
        <v>1</v>
      </c>
      <c r="G1414" s="1" t="s">
        <v>7064</v>
      </c>
      <c r="H1414" s="1" t="s">
        <v>7357</v>
      </c>
      <c r="I1414" s="5">
        <v>40380</v>
      </c>
      <c r="J1414" s="18" t="s">
        <v>10</v>
      </c>
      <c r="K1414" s="1" t="s">
        <v>181</v>
      </c>
      <c r="L1414" s="1" t="s">
        <v>2885</v>
      </c>
      <c r="M1414" s="5"/>
      <c r="N1414" s="5" t="s">
        <v>10</v>
      </c>
      <c r="O1414" s="5" t="s">
        <v>10</v>
      </c>
      <c r="P1414" s="11" t="s">
        <v>3349</v>
      </c>
      <c r="Q1414" s="1" t="s">
        <v>33</v>
      </c>
      <c r="R1414" s="2" t="s">
        <v>5984</v>
      </c>
      <c r="S1414" s="1" t="s">
        <v>6244</v>
      </c>
      <c r="T1414" s="1">
        <v>176</v>
      </c>
      <c r="U1414" s="1">
        <v>176</v>
      </c>
      <c r="V1414" s="1">
        <v>87</v>
      </c>
      <c r="W1414" s="1">
        <v>89</v>
      </c>
    </row>
    <row r="1415" spans="1:44" x14ac:dyDescent="0.2">
      <c r="A1415" s="1" t="s">
        <v>1784</v>
      </c>
      <c r="B1415" s="1">
        <v>20659327</v>
      </c>
      <c r="C1415" s="1" t="s">
        <v>7420</v>
      </c>
      <c r="E1415" s="21">
        <v>10</v>
      </c>
      <c r="G1415" s="1" t="s">
        <v>6952</v>
      </c>
      <c r="H1415" s="1" t="s">
        <v>7374</v>
      </c>
      <c r="I1415" s="5">
        <v>40385</v>
      </c>
      <c r="J1415" s="18" t="s">
        <v>11</v>
      </c>
      <c r="K1415" s="1" t="s">
        <v>872</v>
      </c>
      <c r="L1415" s="1" t="s">
        <v>1785</v>
      </c>
      <c r="M1415" s="5"/>
      <c r="N1415" s="5" t="s">
        <v>10</v>
      </c>
      <c r="O1415" s="5" t="s">
        <v>10</v>
      </c>
      <c r="P1415" s="1" t="s">
        <v>1786</v>
      </c>
      <c r="Q1415" s="1" t="s">
        <v>1787</v>
      </c>
      <c r="R1415" s="2" t="s">
        <v>6466</v>
      </c>
      <c r="S1415" s="1" t="s">
        <v>6244</v>
      </c>
      <c r="T1415" s="1">
        <v>642</v>
      </c>
      <c r="U1415" s="1">
        <v>104</v>
      </c>
      <c r="V1415" s="1">
        <v>36</v>
      </c>
      <c r="W1415" s="1">
        <v>20</v>
      </c>
      <c r="X1415" s="1">
        <v>16</v>
      </c>
      <c r="Z1415" s="1">
        <v>32</v>
      </c>
      <c r="AH1415" s="1">
        <v>538</v>
      </c>
      <c r="AI1415" s="1">
        <v>173</v>
      </c>
      <c r="AJ1415" s="1">
        <v>280</v>
      </c>
      <c r="AM1415" s="1">
        <v>85</v>
      </c>
    </row>
    <row r="1416" spans="1:44" x14ac:dyDescent="0.2">
      <c r="A1416" s="1" t="s">
        <v>1691</v>
      </c>
      <c r="B1416" s="1">
        <v>20661308</v>
      </c>
      <c r="C1416" s="1" t="s">
        <v>7420</v>
      </c>
      <c r="E1416" s="21">
        <v>116</v>
      </c>
      <c r="G1416" s="1" t="s">
        <v>6712</v>
      </c>
      <c r="H1416" s="1" t="s">
        <v>7241</v>
      </c>
      <c r="I1416" s="5">
        <v>40381</v>
      </c>
      <c r="J1416" s="18" t="s">
        <v>11</v>
      </c>
      <c r="K1416" s="1" t="s">
        <v>65</v>
      </c>
      <c r="L1416" s="1" t="s">
        <v>1690</v>
      </c>
      <c r="M1416" s="5"/>
      <c r="N1416" s="5" t="s">
        <v>10</v>
      </c>
      <c r="O1416" s="5" t="s">
        <v>10</v>
      </c>
      <c r="P1416" s="1" t="s">
        <v>5400</v>
      </c>
      <c r="Q1416" s="1" t="s">
        <v>4504</v>
      </c>
      <c r="R1416" s="2" t="s">
        <v>4772</v>
      </c>
      <c r="S1416" s="1" t="s">
        <v>6244</v>
      </c>
      <c r="T1416" s="1">
        <v>16991</v>
      </c>
      <c r="U1416" s="1">
        <v>12865</v>
      </c>
      <c r="V1416" s="1">
        <v>8918</v>
      </c>
      <c r="Y1416" s="1">
        <v>3947</v>
      </c>
      <c r="AH1416" s="1">
        <v>4126</v>
      </c>
      <c r="AI1416" s="1">
        <v>4126</v>
      </c>
    </row>
    <row r="1417" spans="1:44" x14ac:dyDescent="0.2">
      <c r="A1417" s="1" t="s">
        <v>1696</v>
      </c>
      <c r="B1417" s="1">
        <v>20662065</v>
      </c>
      <c r="C1417" s="1" t="s">
        <v>7420</v>
      </c>
      <c r="E1417" s="21">
        <v>234</v>
      </c>
      <c r="G1417" s="1" t="s">
        <v>7103</v>
      </c>
      <c r="H1417" s="1" t="s">
        <v>7375</v>
      </c>
      <c r="I1417" s="5">
        <v>40385</v>
      </c>
      <c r="J1417" s="18" t="s">
        <v>11</v>
      </c>
      <c r="K1417" s="1" t="s">
        <v>462</v>
      </c>
      <c r="L1417" s="1" t="s">
        <v>1695</v>
      </c>
      <c r="M1417" s="5"/>
      <c r="N1417" s="5" t="s">
        <v>10</v>
      </c>
      <c r="O1417" s="5" t="s">
        <v>10</v>
      </c>
      <c r="P1417" s="1" t="s">
        <v>4342</v>
      </c>
      <c r="Q1417" s="1" t="s">
        <v>33</v>
      </c>
      <c r="R1417" s="2" t="s">
        <v>4654</v>
      </c>
      <c r="S1417" s="1" t="s">
        <v>6243</v>
      </c>
      <c r="T1417" s="1">
        <v>3467</v>
      </c>
      <c r="U1417" s="1">
        <v>3467</v>
      </c>
      <c r="V1417" s="1">
        <v>3467</v>
      </c>
    </row>
    <row r="1418" spans="1:44" x14ac:dyDescent="0.2">
      <c r="A1418" s="1" t="s">
        <v>1623</v>
      </c>
      <c r="B1418" s="1">
        <v>20663923</v>
      </c>
      <c r="C1418" s="1" t="s">
        <v>7420</v>
      </c>
      <c r="E1418" s="21">
        <v>25621</v>
      </c>
      <c r="G1418" s="1" t="s">
        <v>317</v>
      </c>
      <c r="H1418" s="1" t="s">
        <v>318</v>
      </c>
      <c r="I1418" s="5">
        <v>40386</v>
      </c>
      <c r="J1418" s="18" t="s">
        <v>11</v>
      </c>
      <c r="K1418" s="1" t="s">
        <v>103</v>
      </c>
      <c r="L1418" s="1" t="s">
        <v>1622</v>
      </c>
      <c r="M1418" s="5"/>
      <c r="N1418" s="5" t="s">
        <v>10</v>
      </c>
      <c r="O1418" s="5" t="s">
        <v>10</v>
      </c>
      <c r="P1418" s="1" t="s">
        <v>6403</v>
      </c>
      <c r="Q1418" s="1" t="s">
        <v>6404</v>
      </c>
      <c r="R1418" s="2" t="s">
        <v>4128</v>
      </c>
      <c r="S1418" s="1" t="s">
        <v>6244</v>
      </c>
      <c r="T1418" s="1">
        <v>4436</v>
      </c>
      <c r="U1418" s="1">
        <v>3350</v>
      </c>
      <c r="V1418" s="1">
        <v>2664</v>
      </c>
      <c r="W1418" s="1">
        <v>511</v>
      </c>
      <c r="AE1418" s="1">
        <v>175</v>
      </c>
      <c r="AH1418" s="1">
        <v>1086</v>
      </c>
      <c r="AI1418" s="1">
        <v>783</v>
      </c>
      <c r="AR1418" s="1">
        <v>303</v>
      </c>
    </row>
    <row r="1419" spans="1:44" x14ac:dyDescent="0.2">
      <c r="A1419" s="1" t="s">
        <v>1635</v>
      </c>
      <c r="B1419" s="1">
        <v>20664687</v>
      </c>
      <c r="C1419" s="1" t="s">
        <v>7420</v>
      </c>
      <c r="E1419" s="21">
        <v>5</v>
      </c>
      <c r="G1419" s="1" t="s">
        <v>1636</v>
      </c>
      <c r="H1419" s="1" t="s">
        <v>7379</v>
      </c>
      <c r="I1419" s="5">
        <v>40360</v>
      </c>
      <c r="J1419" s="18" t="s">
        <v>11</v>
      </c>
      <c r="K1419" s="1" t="s">
        <v>1633</v>
      </c>
      <c r="L1419" s="1" t="s">
        <v>1634</v>
      </c>
      <c r="M1419" s="5"/>
      <c r="N1419" s="5" t="s">
        <v>10</v>
      </c>
      <c r="O1419" s="5" t="s">
        <v>10</v>
      </c>
      <c r="P1419" s="1" t="s">
        <v>3559</v>
      </c>
      <c r="Q1419" s="1" t="s">
        <v>33</v>
      </c>
      <c r="R1419" s="2" t="s">
        <v>4707</v>
      </c>
      <c r="S1419" s="1" t="s">
        <v>6242</v>
      </c>
      <c r="T1419" s="1">
        <v>3715</v>
      </c>
      <c r="U1419" s="1">
        <v>3715</v>
      </c>
      <c r="X1419" s="1">
        <v>3715</v>
      </c>
    </row>
    <row r="1420" spans="1:44" x14ac:dyDescent="0.2">
      <c r="A1420" s="1" t="s">
        <v>1699</v>
      </c>
      <c r="B1420" s="1">
        <v>20668430</v>
      </c>
      <c r="C1420" s="1" t="s">
        <v>7420</v>
      </c>
      <c r="E1420" s="21">
        <v>66</v>
      </c>
      <c r="G1420" s="1" t="s">
        <v>1700</v>
      </c>
      <c r="H1420" s="1" t="s">
        <v>1701</v>
      </c>
      <c r="I1420" s="5">
        <v>40387</v>
      </c>
      <c r="J1420" s="18" t="s">
        <v>11</v>
      </c>
      <c r="K1420" s="1" t="s">
        <v>1697</v>
      </c>
      <c r="L1420" s="1" t="s">
        <v>1698</v>
      </c>
      <c r="M1420" s="5"/>
      <c r="N1420" s="5" t="s">
        <v>10</v>
      </c>
      <c r="O1420" s="5" t="s">
        <v>10</v>
      </c>
      <c r="P1420" s="1" t="s">
        <v>5560</v>
      </c>
      <c r="Q1420" s="1" t="s">
        <v>4088</v>
      </c>
      <c r="R1420" s="2" t="s">
        <v>4250</v>
      </c>
      <c r="S1420" s="1" t="s">
        <v>6244</v>
      </c>
      <c r="T1420" s="1">
        <v>3407</v>
      </c>
      <c r="U1420" s="1">
        <v>117</v>
      </c>
      <c r="V1420" s="1">
        <v>61</v>
      </c>
      <c r="W1420" s="1">
        <v>56</v>
      </c>
      <c r="AH1420" s="1">
        <v>3290</v>
      </c>
      <c r="AI1420" s="1">
        <v>1531</v>
      </c>
      <c r="AJ1420" s="1">
        <v>1759</v>
      </c>
    </row>
    <row r="1421" spans="1:44" x14ac:dyDescent="0.2">
      <c r="A1421" s="1" t="s">
        <v>1135</v>
      </c>
      <c r="B1421" s="1">
        <v>20668459</v>
      </c>
      <c r="C1421" s="1" t="s">
        <v>7420</v>
      </c>
      <c r="E1421" s="21">
        <v>50</v>
      </c>
      <c r="G1421" s="1" t="s">
        <v>197</v>
      </c>
      <c r="H1421" s="1" t="s">
        <v>7270</v>
      </c>
      <c r="I1421" s="5">
        <v>40388</v>
      </c>
      <c r="J1421" s="18" t="s">
        <v>11</v>
      </c>
      <c r="K1421" s="1" t="s">
        <v>689</v>
      </c>
      <c r="L1421" s="1" t="s">
        <v>1705</v>
      </c>
      <c r="M1421" s="5"/>
      <c r="N1421" s="5" t="s">
        <v>10</v>
      </c>
      <c r="O1421" s="5" t="s">
        <v>10</v>
      </c>
      <c r="P1421" s="1" t="s">
        <v>3883</v>
      </c>
      <c r="Q1421" s="1" t="s">
        <v>33</v>
      </c>
      <c r="R1421" s="2" t="s">
        <v>4925</v>
      </c>
      <c r="S1421" s="1" t="s">
        <v>6242</v>
      </c>
      <c r="T1421" s="1">
        <v>518</v>
      </c>
      <c r="U1421" s="1">
        <v>518</v>
      </c>
      <c r="X1421" s="1">
        <v>518</v>
      </c>
    </row>
    <row r="1422" spans="1:44" x14ac:dyDescent="0.2">
      <c r="A1422" s="1" t="s">
        <v>1713</v>
      </c>
      <c r="B1422" s="1">
        <v>20670164</v>
      </c>
      <c r="C1422" s="1" t="s">
        <v>7420</v>
      </c>
      <c r="E1422" s="21">
        <v>6</v>
      </c>
      <c r="G1422" s="1" t="s">
        <v>7041</v>
      </c>
      <c r="H1422" s="1" t="s">
        <v>6671</v>
      </c>
      <c r="I1422" s="5">
        <v>40391</v>
      </c>
      <c r="J1422" s="18" t="s">
        <v>11</v>
      </c>
      <c r="K1422" s="1" t="s">
        <v>1709</v>
      </c>
      <c r="L1422" s="1" t="s">
        <v>1710</v>
      </c>
      <c r="M1422" s="5"/>
      <c r="N1422" s="5" t="s">
        <v>10</v>
      </c>
      <c r="O1422" s="5" t="s">
        <v>10</v>
      </c>
      <c r="P1422" s="1" t="s">
        <v>1711</v>
      </c>
      <c r="Q1422" s="1" t="s">
        <v>1712</v>
      </c>
      <c r="R1422" s="2" t="s">
        <v>4848</v>
      </c>
      <c r="S1422" s="1" t="s">
        <v>6242</v>
      </c>
      <c r="T1422" s="1">
        <v>24</v>
      </c>
      <c r="U1422" s="1">
        <v>8</v>
      </c>
      <c r="X1422" s="1">
        <v>8</v>
      </c>
      <c r="AH1422" s="1">
        <v>16</v>
      </c>
      <c r="AK1422" s="1">
        <v>16</v>
      </c>
    </row>
    <row r="1423" spans="1:44" x14ac:dyDescent="0.2">
      <c r="A1423" s="1" t="s">
        <v>1784</v>
      </c>
      <c r="B1423" s="1">
        <v>20671926</v>
      </c>
      <c r="C1423" s="1" t="s">
        <v>7420</v>
      </c>
      <c r="D1423" s="1" t="s">
        <v>7411</v>
      </c>
      <c r="E1423" s="21">
        <v>1</v>
      </c>
      <c r="G1423" s="1" t="s">
        <v>218</v>
      </c>
      <c r="H1423" s="1" t="s">
        <v>7376</v>
      </c>
      <c r="I1423" s="5">
        <v>40363</v>
      </c>
      <c r="J1423" s="18" t="s">
        <v>10</v>
      </c>
      <c r="K1423" s="1" t="s">
        <v>2886</v>
      </c>
      <c r="L1423" s="1" t="s">
        <v>2887</v>
      </c>
      <c r="M1423" s="5"/>
      <c r="N1423" s="5" t="s">
        <v>10</v>
      </c>
      <c r="O1423" s="5" t="s">
        <v>10</v>
      </c>
      <c r="P1423" s="1" t="s">
        <v>5462</v>
      </c>
      <c r="Q1423" s="1" t="s">
        <v>5463</v>
      </c>
      <c r="R1423" s="2" t="s">
        <v>6468</v>
      </c>
      <c r="S1423" s="1" t="s">
        <v>6244</v>
      </c>
      <c r="T1423" s="1">
        <v>1104</v>
      </c>
      <c r="U1423" s="1">
        <v>104</v>
      </c>
      <c r="V1423" s="1">
        <v>36</v>
      </c>
      <c r="W1423" s="1">
        <v>20</v>
      </c>
      <c r="X1423" s="1">
        <v>16</v>
      </c>
      <c r="Z1423" s="1">
        <v>32</v>
      </c>
      <c r="AH1423" s="1">
        <v>1000</v>
      </c>
      <c r="AI1423" s="1">
        <v>313</v>
      </c>
      <c r="AJ1423" s="1">
        <v>613</v>
      </c>
      <c r="AM1423" s="1">
        <v>74</v>
      </c>
    </row>
    <row r="1424" spans="1:44" x14ac:dyDescent="0.2">
      <c r="A1424" s="1" t="s">
        <v>1704</v>
      </c>
      <c r="B1424" s="1">
        <v>20673876</v>
      </c>
      <c r="C1424" s="1" t="s">
        <v>7420</v>
      </c>
      <c r="E1424" s="21">
        <v>129</v>
      </c>
      <c r="G1424" s="1" t="s">
        <v>634</v>
      </c>
      <c r="H1424" s="1" t="s">
        <v>635</v>
      </c>
      <c r="I1424" s="5">
        <v>40390</v>
      </c>
      <c r="J1424" s="18" t="s">
        <v>11</v>
      </c>
      <c r="K1424" s="1" t="s">
        <v>1128</v>
      </c>
      <c r="L1424" s="1" t="s">
        <v>1702</v>
      </c>
      <c r="M1424" s="5"/>
      <c r="N1424" s="5" t="s">
        <v>10</v>
      </c>
      <c r="O1424" s="5" t="s">
        <v>10</v>
      </c>
      <c r="P1424" s="1" t="s">
        <v>4090</v>
      </c>
      <c r="Q1424" s="1" t="s">
        <v>1703</v>
      </c>
      <c r="R1424" s="2" t="s">
        <v>4091</v>
      </c>
      <c r="S1424" s="1" t="s">
        <v>6243</v>
      </c>
      <c r="T1424" s="1">
        <v>2842</v>
      </c>
      <c r="U1424" s="1">
        <v>1892</v>
      </c>
      <c r="V1424" s="1">
        <v>1892</v>
      </c>
      <c r="AH1424" s="1">
        <v>950</v>
      </c>
      <c r="AI1424" s="1">
        <v>950</v>
      </c>
    </row>
    <row r="1425" spans="1:44" x14ac:dyDescent="0.2">
      <c r="A1425" s="1" t="s">
        <v>1619</v>
      </c>
      <c r="B1425" s="1">
        <v>20675712</v>
      </c>
      <c r="C1425" s="1" t="s">
        <v>7420</v>
      </c>
      <c r="E1425" s="21">
        <v>39</v>
      </c>
      <c r="G1425" s="1" t="s">
        <v>1620</v>
      </c>
      <c r="H1425" s="1" t="s">
        <v>1621</v>
      </c>
      <c r="I1425" s="5">
        <v>40359</v>
      </c>
      <c r="J1425" s="18" t="s">
        <v>11</v>
      </c>
      <c r="K1425" s="1" t="s">
        <v>103</v>
      </c>
      <c r="L1425" s="1" t="s">
        <v>1617</v>
      </c>
      <c r="M1425" s="5"/>
      <c r="N1425" s="5" t="s">
        <v>10</v>
      </c>
      <c r="O1425" s="5" t="s">
        <v>10</v>
      </c>
      <c r="P1425" s="1" t="s">
        <v>3982</v>
      </c>
      <c r="Q1425" s="1" t="s">
        <v>6090</v>
      </c>
      <c r="R1425" s="2" t="s">
        <v>1618</v>
      </c>
      <c r="S1425" s="1" t="s">
        <v>6243</v>
      </c>
      <c r="T1425" s="1">
        <v>1530</v>
      </c>
      <c r="U1425" s="1">
        <v>1457</v>
      </c>
      <c r="V1425" s="1">
        <v>1457</v>
      </c>
      <c r="AH1425" s="1">
        <v>73</v>
      </c>
      <c r="AI1425" s="1">
        <v>73</v>
      </c>
    </row>
    <row r="1426" spans="1:44" x14ac:dyDescent="0.2">
      <c r="A1426" s="1" t="s">
        <v>1220</v>
      </c>
      <c r="B1426" s="1">
        <v>20676096</v>
      </c>
      <c r="C1426" s="1" t="s">
        <v>7420</v>
      </c>
      <c r="E1426" s="21">
        <v>78</v>
      </c>
      <c r="G1426" s="1" t="s">
        <v>6839</v>
      </c>
      <c r="H1426" s="1" t="s">
        <v>6613</v>
      </c>
      <c r="I1426" s="5">
        <v>40391</v>
      </c>
      <c r="J1426" s="18" t="s">
        <v>11</v>
      </c>
      <c r="K1426" s="1" t="s">
        <v>28</v>
      </c>
      <c r="L1426" s="1" t="s">
        <v>1614</v>
      </c>
      <c r="M1426" s="5"/>
      <c r="N1426" s="5" t="s">
        <v>10</v>
      </c>
      <c r="O1426" s="5" t="s">
        <v>10</v>
      </c>
      <c r="P1426" s="1" t="s">
        <v>1615</v>
      </c>
      <c r="Q1426" s="1" t="s">
        <v>4063</v>
      </c>
      <c r="R1426" s="2" t="s">
        <v>4458</v>
      </c>
      <c r="S1426" s="1" t="s">
        <v>6242</v>
      </c>
      <c r="T1426" s="1">
        <v>4576</v>
      </c>
      <c r="U1426" s="1">
        <v>707</v>
      </c>
      <c r="X1426" s="1">
        <v>707</v>
      </c>
      <c r="AH1426" s="1">
        <v>3869</v>
      </c>
      <c r="AK1426" s="1">
        <v>3869</v>
      </c>
    </row>
    <row r="1427" spans="1:44" x14ac:dyDescent="0.2">
      <c r="A1427" s="1" t="s">
        <v>1613</v>
      </c>
      <c r="B1427" s="1">
        <v>20676098</v>
      </c>
      <c r="C1427" s="1" t="s">
        <v>7420</v>
      </c>
      <c r="E1427" s="21">
        <v>109</v>
      </c>
      <c r="G1427" s="1" t="s">
        <v>77</v>
      </c>
      <c r="H1427" s="1" t="s">
        <v>6689</v>
      </c>
      <c r="I1427" s="5">
        <v>40391</v>
      </c>
      <c r="J1427" s="18" t="s">
        <v>11</v>
      </c>
      <c r="K1427" s="1" t="s">
        <v>28</v>
      </c>
      <c r="L1427" s="1" t="s">
        <v>1612</v>
      </c>
      <c r="M1427" s="5"/>
      <c r="N1427" s="5" t="s">
        <v>11</v>
      </c>
      <c r="O1427" s="5" t="s">
        <v>11</v>
      </c>
      <c r="P1427" s="1" t="s">
        <v>4334</v>
      </c>
      <c r="Q1427" s="1" t="s">
        <v>6339</v>
      </c>
      <c r="R1427" s="2" t="s">
        <v>4971</v>
      </c>
      <c r="S1427" s="1" t="s">
        <v>6242</v>
      </c>
      <c r="T1427" s="1">
        <v>13385</v>
      </c>
      <c r="U1427" s="1">
        <v>4969</v>
      </c>
      <c r="X1427" s="1">
        <v>4969</v>
      </c>
      <c r="AH1427" s="1">
        <v>8416</v>
      </c>
      <c r="AK1427" s="1">
        <v>8416</v>
      </c>
    </row>
    <row r="1428" spans="1:44" x14ac:dyDescent="0.2">
      <c r="A1428" s="1" t="s">
        <v>1589</v>
      </c>
      <c r="B1428" s="1">
        <v>20686565</v>
      </c>
      <c r="C1428" s="1" t="s">
        <v>7420</v>
      </c>
      <c r="E1428" s="21">
        <v>595425</v>
      </c>
      <c r="G1428" s="1" t="s">
        <v>242</v>
      </c>
      <c r="H1428" s="1" t="s">
        <v>7160</v>
      </c>
      <c r="I1428" s="5">
        <v>40395</v>
      </c>
      <c r="J1428" s="18" t="s">
        <v>11</v>
      </c>
      <c r="K1428" s="1" t="s">
        <v>58</v>
      </c>
      <c r="L1428" s="1" t="s">
        <v>1587</v>
      </c>
      <c r="M1428" s="5"/>
      <c r="N1428" s="5" t="s">
        <v>10</v>
      </c>
      <c r="O1428" s="5" t="s">
        <v>10</v>
      </c>
      <c r="P1428" s="1" t="s">
        <v>5584</v>
      </c>
      <c r="Q1428" s="1" t="s">
        <v>4944</v>
      </c>
      <c r="R1428" s="2" t="s">
        <v>1588</v>
      </c>
      <c r="S1428" s="1" t="s">
        <v>6244</v>
      </c>
      <c r="T1428" s="1">
        <v>140059</v>
      </c>
      <c r="U1428" s="1">
        <v>100184</v>
      </c>
      <c r="V1428" s="1">
        <v>100184</v>
      </c>
      <c r="AH1428" s="1">
        <v>39875</v>
      </c>
      <c r="AI1428" s="1">
        <v>7063</v>
      </c>
      <c r="AJ1428" s="1">
        <v>8061</v>
      </c>
      <c r="AK1428" s="1">
        <v>15046</v>
      </c>
      <c r="AL1428" s="1">
        <v>9705</v>
      </c>
    </row>
    <row r="1429" spans="1:44" x14ac:dyDescent="0.2">
      <c r="A1429" s="1" t="s">
        <v>1632</v>
      </c>
      <c r="B1429" s="1">
        <v>20686608</v>
      </c>
      <c r="C1429" s="1" t="s">
        <v>7420</v>
      </c>
      <c r="E1429" s="21">
        <v>59</v>
      </c>
      <c r="G1429" s="1" t="s">
        <v>1012</v>
      </c>
      <c r="H1429" s="1" t="s">
        <v>7415</v>
      </c>
      <c r="I1429" s="5">
        <v>40388</v>
      </c>
      <c r="J1429" s="18" t="s">
        <v>11</v>
      </c>
      <c r="K1429" s="1" t="s">
        <v>181</v>
      </c>
      <c r="L1429" s="1" t="s">
        <v>1631</v>
      </c>
      <c r="M1429" s="5"/>
      <c r="N1429" s="5" t="s">
        <v>10</v>
      </c>
      <c r="O1429" s="5" t="s">
        <v>10</v>
      </c>
      <c r="P1429" s="1" t="s">
        <v>4611</v>
      </c>
      <c r="Q1429" s="1" t="s">
        <v>33</v>
      </c>
      <c r="R1429" s="2" t="s">
        <v>5036</v>
      </c>
      <c r="S1429" s="1" t="s">
        <v>6242</v>
      </c>
      <c r="T1429" s="1">
        <v>6200</v>
      </c>
      <c r="U1429" s="1">
        <v>6200</v>
      </c>
      <c r="X1429" s="1">
        <v>6200</v>
      </c>
    </row>
    <row r="1430" spans="1:44" x14ac:dyDescent="0.2">
      <c r="A1430" s="1" t="s">
        <v>166</v>
      </c>
      <c r="B1430" s="1">
        <v>20686651</v>
      </c>
      <c r="C1430" s="1" t="s">
        <v>7420</v>
      </c>
      <c r="E1430" s="21">
        <v>64</v>
      </c>
      <c r="G1430" s="1" t="s">
        <v>6742</v>
      </c>
      <c r="H1430" s="1" t="s">
        <v>7401</v>
      </c>
      <c r="I1430" s="5">
        <v>40388</v>
      </c>
      <c r="J1430" s="18" t="s">
        <v>11</v>
      </c>
      <c r="K1430" s="1" t="s">
        <v>65</v>
      </c>
      <c r="L1430" s="1" t="s">
        <v>1630</v>
      </c>
      <c r="M1430" s="5"/>
      <c r="N1430" s="5" t="s">
        <v>10</v>
      </c>
      <c r="O1430" s="5" t="s">
        <v>10</v>
      </c>
      <c r="P1430" s="1" t="s">
        <v>4572</v>
      </c>
      <c r="Q1430" s="1" t="s">
        <v>4215</v>
      </c>
      <c r="R1430" s="2" t="s">
        <v>667</v>
      </c>
      <c r="S1430" s="1" t="s">
        <v>6243</v>
      </c>
      <c r="T1430" s="1">
        <v>68439</v>
      </c>
      <c r="U1430" s="1">
        <v>60977</v>
      </c>
      <c r="V1430" s="1">
        <v>60977</v>
      </c>
      <c r="AH1430" s="1">
        <v>7462</v>
      </c>
      <c r="AI1430" s="1">
        <v>7462</v>
      </c>
    </row>
    <row r="1431" spans="1:44" x14ac:dyDescent="0.2">
      <c r="A1431" s="1" t="s">
        <v>1672</v>
      </c>
      <c r="B1431" s="1">
        <v>20691247</v>
      </c>
      <c r="C1431" s="1" t="s">
        <v>7420</v>
      </c>
      <c r="E1431" s="21">
        <v>79</v>
      </c>
      <c r="G1431" s="1" t="s">
        <v>7116</v>
      </c>
      <c r="H1431" s="1" t="s">
        <v>179</v>
      </c>
      <c r="I1431" s="5">
        <v>40394</v>
      </c>
      <c r="J1431" s="18" t="s">
        <v>11</v>
      </c>
      <c r="K1431" s="1" t="s">
        <v>1670</v>
      </c>
      <c r="L1431" s="1" t="s">
        <v>1671</v>
      </c>
      <c r="M1431" s="5"/>
      <c r="N1431" s="5" t="s">
        <v>10</v>
      </c>
      <c r="O1431" s="5" t="s">
        <v>10</v>
      </c>
      <c r="P1431" s="1" t="s">
        <v>3588</v>
      </c>
      <c r="Q1431" s="1" t="s">
        <v>33</v>
      </c>
      <c r="R1431" s="2" t="s">
        <v>4152</v>
      </c>
      <c r="S1431" s="1" t="s">
        <v>6243</v>
      </c>
      <c r="T1431" s="1">
        <v>5117</v>
      </c>
      <c r="U1431" s="1">
        <v>5117</v>
      </c>
      <c r="V1431" s="1">
        <v>5117</v>
      </c>
    </row>
    <row r="1432" spans="1:44" x14ac:dyDescent="0.2">
      <c r="A1432" s="1" t="s">
        <v>1666</v>
      </c>
      <c r="B1432" s="1">
        <v>20694011</v>
      </c>
      <c r="C1432" s="1" t="s">
        <v>7420</v>
      </c>
      <c r="E1432" s="21">
        <v>195</v>
      </c>
      <c r="G1432" s="1" t="s">
        <v>6950</v>
      </c>
      <c r="H1432" s="1" t="s">
        <v>7216</v>
      </c>
      <c r="I1432" s="5">
        <v>40398</v>
      </c>
      <c r="J1432" s="18" t="s">
        <v>11</v>
      </c>
      <c r="K1432" s="1" t="s">
        <v>28</v>
      </c>
      <c r="L1432" s="1" t="s">
        <v>1664</v>
      </c>
      <c r="M1432" s="5"/>
      <c r="N1432" s="5" t="s">
        <v>10</v>
      </c>
      <c r="O1432" s="5" t="s">
        <v>10</v>
      </c>
      <c r="P1432" s="1" t="s">
        <v>4075</v>
      </c>
      <c r="Q1432" s="1" t="s">
        <v>1665</v>
      </c>
      <c r="R1432" s="2" t="s">
        <v>4755</v>
      </c>
      <c r="S1432" s="1" t="s">
        <v>6243</v>
      </c>
      <c r="T1432" s="1">
        <v>2748</v>
      </c>
      <c r="U1432" s="1">
        <v>1520</v>
      </c>
      <c r="V1432" s="1">
        <v>1520</v>
      </c>
      <c r="AH1432" s="1">
        <v>1228</v>
      </c>
      <c r="AI1432" s="1">
        <v>1228</v>
      </c>
    </row>
    <row r="1433" spans="1:44" x14ac:dyDescent="0.2">
      <c r="A1433" s="1" t="s">
        <v>1661</v>
      </c>
      <c r="B1433" s="1">
        <v>20694013</v>
      </c>
      <c r="C1433" s="1" t="s">
        <v>7420</v>
      </c>
      <c r="E1433" s="21">
        <v>156</v>
      </c>
      <c r="G1433" s="1" t="s">
        <v>1662</v>
      </c>
      <c r="H1433" s="1" t="s">
        <v>1663</v>
      </c>
      <c r="I1433" s="5">
        <v>40398</v>
      </c>
      <c r="J1433" s="18" t="s">
        <v>11</v>
      </c>
      <c r="K1433" s="1" t="s">
        <v>28</v>
      </c>
      <c r="L1433" s="1" t="s">
        <v>1659</v>
      </c>
      <c r="M1433" s="5"/>
      <c r="N1433" s="5" t="s">
        <v>10</v>
      </c>
      <c r="O1433" s="5" t="s">
        <v>10</v>
      </c>
      <c r="P1433" s="1" t="s">
        <v>6190</v>
      </c>
      <c r="Q1433" s="1" t="s">
        <v>1660</v>
      </c>
      <c r="R1433" s="2" t="s">
        <v>4837</v>
      </c>
      <c r="S1433" s="1" t="s">
        <v>6243</v>
      </c>
      <c r="T1433" s="1">
        <v>7458</v>
      </c>
      <c r="U1433" s="1">
        <v>5178</v>
      </c>
      <c r="V1433" s="1">
        <v>5178</v>
      </c>
      <c r="AH1433" s="1">
        <v>2280</v>
      </c>
      <c r="AI1433" s="1">
        <v>2280</v>
      </c>
    </row>
    <row r="1434" spans="1:44" x14ac:dyDescent="0.2">
      <c r="A1434" s="1" t="s">
        <v>1646</v>
      </c>
      <c r="B1434" s="1">
        <v>20694014</v>
      </c>
      <c r="C1434" s="1" t="s">
        <v>7420</v>
      </c>
      <c r="E1434" s="21">
        <v>80</v>
      </c>
      <c r="G1434" s="1" t="s">
        <v>1647</v>
      </c>
      <c r="H1434" s="1" t="s">
        <v>7123</v>
      </c>
      <c r="I1434" s="5">
        <v>40398</v>
      </c>
      <c r="J1434" s="18" t="s">
        <v>11</v>
      </c>
      <c r="K1434" s="1" t="s">
        <v>28</v>
      </c>
      <c r="L1434" s="1" t="s">
        <v>1645</v>
      </c>
      <c r="M1434" s="5"/>
      <c r="N1434" s="5" t="s">
        <v>10</v>
      </c>
      <c r="O1434" s="5" t="s">
        <v>10</v>
      </c>
      <c r="P1434" s="1" t="s">
        <v>4117</v>
      </c>
      <c r="Q1434" s="1" t="s">
        <v>4398</v>
      </c>
      <c r="R1434" s="2" t="s">
        <v>4399</v>
      </c>
      <c r="S1434" s="1" t="s">
        <v>6440</v>
      </c>
      <c r="T1434" s="1">
        <v>12753</v>
      </c>
      <c r="U1434" s="1">
        <v>5359</v>
      </c>
      <c r="W1434" s="1">
        <v>5359</v>
      </c>
      <c r="AH1434" s="1">
        <v>7394</v>
      </c>
      <c r="AJ1434" s="1">
        <v>7394</v>
      </c>
    </row>
    <row r="1435" spans="1:44" x14ac:dyDescent="0.2">
      <c r="A1435" s="1" t="s">
        <v>1715</v>
      </c>
      <c r="B1435" s="1">
        <v>20694148</v>
      </c>
      <c r="C1435" s="1" t="s">
        <v>7420</v>
      </c>
      <c r="E1435" s="21">
        <v>31</v>
      </c>
      <c r="G1435" s="1" t="s">
        <v>6867</v>
      </c>
      <c r="H1435" s="1" t="s">
        <v>7385</v>
      </c>
      <c r="I1435" s="5">
        <v>40394</v>
      </c>
      <c r="J1435" s="18" t="s">
        <v>11</v>
      </c>
      <c r="K1435" s="1" t="s">
        <v>181</v>
      </c>
      <c r="L1435" s="1" t="s">
        <v>1714</v>
      </c>
      <c r="M1435" s="5"/>
      <c r="N1435" s="5" t="s">
        <v>11</v>
      </c>
      <c r="O1435" s="5" t="s">
        <v>11</v>
      </c>
      <c r="P1435" s="1" t="s">
        <v>4208</v>
      </c>
      <c r="Q1435" s="1" t="s">
        <v>4209</v>
      </c>
      <c r="R1435" s="2" t="s">
        <v>4827</v>
      </c>
      <c r="S1435" s="1" t="s">
        <v>6432</v>
      </c>
      <c r="T1435" s="1">
        <v>4794</v>
      </c>
      <c r="U1435" s="1">
        <v>2554</v>
      </c>
      <c r="Y1435" s="1">
        <v>2554</v>
      </c>
      <c r="AH1435" s="1">
        <v>2240</v>
      </c>
      <c r="AL1435" s="1">
        <v>2240</v>
      </c>
    </row>
    <row r="1436" spans="1:44" x14ac:dyDescent="0.2">
      <c r="A1436" s="1" t="s">
        <v>1729</v>
      </c>
      <c r="B1436" s="1">
        <v>20698975</v>
      </c>
      <c r="C1436" s="1" t="s">
        <v>7420</v>
      </c>
      <c r="E1436" s="21">
        <v>110</v>
      </c>
      <c r="G1436" s="1" t="s">
        <v>799</v>
      </c>
      <c r="H1436" s="1" t="s">
        <v>7052</v>
      </c>
      <c r="I1436" s="5">
        <v>40400</v>
      </c>
      <c r="J1436" s="18" t="s">
        <v>11</v>
      </c>
      <c r="K1436" s="1" t="s">
        <v>220</v>
      </c>
      <c r="L1436" s="1" t="s">
        <v>1728</v>
      </c>
      <c r="M1436" s="5"/>
      <c r="N1436" s="5" t="s">
        <v>10</v>
      </c>
      <c r="O1436" s="5" t="s">
        <v>10</v>
      </c>
      <c r="P1436" s="1" t="s">
        <v>5637</v>
      </c>
      <c r="Q1436" s="1" t="s">
        <v>5548</v>
      </c>
      <c r="R1436" s="2" t="s">
        <v>4675</v>
      </c>
      <c r="S1436" s="1" t="s">
        <v>6244</v>
      </c>
      <c r="T1436" s="1">
        <v>11504</v>
      </c>
      <c r="U1436" s="1">
        <v>1205</v>
      </c>
      <c r="V1436" s="1">
        <v>1205</v>
      </c>
      <c r="AH1436" s="1">
        <v>10299</v>
      </c>
      <c r="AI1436" s="1">
        <v>8550</v>
      </c>
      <c r="AM1436" s="1">
        <v>1749</v>
      </c>
    </row>
    <row r="1437" spans="1:44" x14ac:dyDescent="0.2">
      <c r="A1437" s="1" t="s">
        <v>1719</v>
      </c>
      <c r="B1437" s="1">
        <v>20700438</v>
      </c>
      <c r="C1437" s="1" t="s">
        <v>7420</v>
      </c>
      <c r="E1437" s="21">
        <v>36</v>
      </c>
      <c r="G1437" s="1" t="s">
        <v>6862</v>
      </c>
      <c r="H1437" s="1" t="s">
        <v>7092</v>
      </c>
      <c r="I1437" s="5">
        <v>40395</v>
      </c>
      <c r="J1437" s="18" t="s">
        <v>11</v>
      </c>
      <c r="K1437" s="1" t="s">
        <v>65</v>
      </c>
      <c r="L1437" s="1" t="s">
        <v>1718</v>
      </c>
      <c r="M1437" s="5"/>
      <c r="N1437" s="5" t="s">
        <v>11</v>
      </c>
      <c r="O1437" s="5" t="s">
        <v>11</v>
      </c>
      <c r="P1437" s="1" t="s">
        <v>6703</v>
      </c>
      <c r="Q1437" s="1" t="s">
        <v>6704</v>
      </c>
      <c r="R1437" s="2" t="s">
        <v>4760</v>
      </c>
      <c r="S1437" s="1" t="s">
        <v>6242</v>
      </c>
      <c r="T1437" s="1">
        <v>5868</v>
      </c>
      <c r="U1437" s="1">
        <v>1169</v>
      </c>
      <c r="X1437" s="1">
        <v>1169</v>
      </c>
      <c r="AH1437" s="1">
        <v>4699</v>
      </c>
      <c r="AK1437" s="1">
        <v>4699</v>
      </c>
    </row>
    <row r="1438" spans="1:44" x14ac:dyDescent="0.2">
      <c r="A1438" s="1" t="s">
        <v>1717</v>
      </c>
      <c r="B1438" s="1">
        <v>20700443</v>
      </c>
      <c r="C1438" s="1" t="s">
        <v>7420</v>
      </c>
      <c r="E1438" s="21">
        <v>301</v>
      </c>
      <c r="G1438" s="1" t="s">
        <v>6725</v>
      </c>
      <c r="H1438" s="1" t="s">
        <v>7211</v>
      </c>
      <c r="I1438" s="5">
        <v>40395</v>
      </c>
      <c r="J1438" s="18" t="s">
        <v>11</v>
      </c>
      <c r="K1438" s="1" t="s">
        <v>65</v>
      </c>
      <c r="L1438" s="1" t="s">
        <v>1716</v>
      </c>
      <c r="M1438" s="5"/>
      <c r="N1438" s="5" t="s">
        <v>10</v>
      </c>
      <c r="O1438" s="5" t="s">
        <v>10</v>
      </c>
      <c r="P1438" s="1" t="s">
        <v>5511</v>
      </c>
      <c r="Q1438" s="1" t="s">
        <v>5512</v>
      </c>
      <c r="R1438" s="2" t="s">
        <v>868</v>
      </c>
      <c r="S1438" s="1" t="s">
        <v>6243</v>
      </c>
      <c r="T1438" s="1">
        <v>23829</v>
      </c>
      <c r="U1438" s="1">
        <v>15366</v>
      </c>
      <c r="V1438" s="1">
        <v>15366</v>
      </c>
      <c r="AH1438" s="1">
        <v>8463</v>
      </c>
      <c r="AI1438" s="1">
        <v>8463</v>
      </c>
    </row>
    <row r="1439" spans="1:44" x14ac:dyDescent="0.2">
      <c r="A1439" s="1" t="s">
        <v>2440</v>
      </c>
      <c r="B1439" s="1">
        <v>20704485</v>
      </c>
      <c r="C1439" s="1" t="s">
        <v>7420</v>
      </c>
      <c r="D1439" s="1" t="s">
        <v>7411</v>
      </c>
      <c r="E1439" s="21">
        <v>1</v>
      </c>
      <c r="G1439" s="1" t="s">
        <v>6846</v>
      </c>
      <c r="H1439" s="1" t="s">
        <v>7173</v>
      </c>
      <c r="I1439" s="5">
        <v>40436</v>
      </c>
      <c r="J1439" s="18" t="s">
        <v>10</v>
      </c>
      <c r="K1439" s="1" t="s">
        <v>657</v>
      </c>
      <c r="L1439" s="1" t="s">
        <v>2888</v>
      </c>
      <c r="M1439" s="5"/>
      <c r="N1439" s="5" t="s">
        <v>10</v>
      </c>
      <c r="O1439" s="5" t="s">
        <v>10</v>
      </c>
      <c r="P1439" s="1" t="s">
        <v>5149</v>
      </c>
      <c r="Q1439" s="1" t="s">
        <v>5150</v>
      </c>
      <c r="R1439" s="2" t="s">
        <v>5719</v>
      </c>
      <c r="S1439" s="1" t="s">
        <v>6389</v>
      </c>
      <c r="T1439" s="1">
        <v>1930</v>
      </c>
      <c r="U1439" s="1">
        <v>883</v>
      </c>
      <c r="V1439" s="1">
        <v>883</v>
      </c>
      <c r="AH1439" s="1">
        <v>1047</v>
      </c>
      <c r="AI1439" s="1">
        <v>712</v>
      </c>
      <c r="AR1439" s="1">
        <v>335</v>
      </c>
    </row>
    <row r="1440" spans="1:44" x14ac:dyDescent="0.2">
      <c r="A1440" s="1" t="s">
        <v>1643</v>
      </c>
      <c r="B1440" s="1">
        <v>20705733</v>
      </c>
      <c r="C1440" s="1" t="s">
        <v>7420</v>
      </c>
      <c r="E1440" s="21">
        <v>125</v>
      </c>
      <c r="G1440" s="1" t="s">
        <v>6712</v>
      </c>
      <c r="H1440" s="1" t="s">
        <v>7241</v>
      </c>
      <c r="I1440" s="5">
        <v>40402</v>
      </c>
      <c r="J1440" s="18" t="s">
        <v>11</v>
      </c>
      <c r="K1440" s="1" t="s">
        <v>103</v>
      </c>
      <c r="L1440" s="1" t="s">
        <v>1642</v>
      </c>
      <c r="M1440" s="5"/>
      <c r="N1440" s="5" t="s">
        <v>10</v>
      </c>
      <c r="O1440" s="5" t="s">
        <v>10</v>
      </c>
      <c r="P1440" s="1" t="s">
        <v>5196</v>
      </c>
      <c r="Q1440" s="1" t="s">
        <v>33</v>
      </c>
      <c r="R1440" s="2" t="s">
        <v>868</v>
      </c>
      <c r="S1440" s="1" t="s">
        <v>6243</v>
      </c>
      <c r="T1440" s="1">
        <v>20611</v>
      </c>
      <c r="U1440" s="1">
        <v>20611</v>
      </c>
      <c r="V1440" s="1">
        <v>20611</v>
      </c>
    </row>
    <row r="1441" spans="1:37" x14ac:dyDescent="0.2">
      <c r="A1441" s="1" t="s">
        <v>1783</v>
      </c>
      <c r="B1441" s="1">
        <v>20706608</v>
      </c>
      <c r="C1441" s="1" t="s">
        <v>7420</v>
      </c>
      <c r="E1441" s="21">
        <v>21</v>
      </c>
      <c r="G1441" s="1" t="s">
        <v>218</v>
      </c>
      <c r="H1441" s="1" t="s">
        <v>7376</v>
      </c>
      <c r="I1441" s="5">
        <v>40374</v>
      </c>
      <c r="J1441" s="18" t="s">
        <v>10</v>
      </c>
      <c r="K1441" s="1" t="s">
        <v>2886</v>
      </c>
      <c r="L1441" s="1" t="s">
        <v>2889</v>
      </c>
      <c r="M1441" s="5"/>
      <c r="N1441" s="5" t="s">
        <v>10</v>
      </c>
      <c r="O1441" s="5" t="s">
        <v>10</v>
      </c>
      <c r="P1441" s="1" t="s">
        <v>5467</v>
      </c>
      <c r="Q1441" s="1" t="s">
        <v>5468</v>
      </c>
      <c r="R1441" s="2" t="s">
        <v>5965</v>
      </c>
      <c r="S1441" s="1" t="s">
        <v>6244</v>
      </c>
      <c r="T1441" s="1">
        <v>8981</v>
      </c>
      <c r="U1441" s="1">
        <v>418</v>
      </c>
      <c r="W1441" s="1">
        <v>418</v>
      </c>
      <c r="AH1441" s="1">
        <v>8563</v>
      </c>
      <c r="AI1441" s="1">
        <v>5477</v>
      </c>
      <c r="AJ1441" s="1">
        <v>1466</v>
      </c>
      <c r="AK1441" s="1">
        <v>1620</v>
      </c>
    </row>
    <row r="1442" spans="1:37" x14ac:dyDescent="0.2">
      <c r="A1442" s="1" t="s">
        <v>1707</v>
      </c>
      <c r="B1442" s="1">
        <v>20707712</v>
      </c>
      <c r="C1442" s="1" t="s">
        <v>7420</v>
      </c>
      <c r="E1442" s="21">
        <v>17</v>
      </c>
      <c r="G1442" s="1" t="s">
        <v>1708</v>
      </c>
      <c r="H1442" s="1" t="s">
        <v>6951</v>
      </c>
      <c r="I1442" s="5">
        <v>40391</v>
      </c>
      <c r="J1442" s="18" t="s">
        <v>11</v>
      </c>
      <c r="K1442" s="1" t="s">
        <v>1408</v>
      </c>
      <c r="L1442" s="1" t="s">
        <v>1706</v>
      </c>
      <c r="M1442" s="5"/>
      <c r="N1442" s="5" t="s">
        <v>10</v>
      </c>
      <c r="O1442" s="5" t="s">
        <v>10</v>
      </c>
      <c r="P1442" s="1" t="s">
        <v>4685</v>
      </c>
      <c r="Q1442" s="1" t="s">
        <v>33</v>
      </c>
      <c r="R1442" s="2" t="s">
        <v>5024</v>
      </c>
      <c r="S1442" s="1" t="s">
        <v>6243</v>
      </c>
      <c r="T1442" s="1">
        <v>6706</v>
      </c>
      <c r="U1442" s="1">
        <v>6706</v>
      </c>
      <c r="V1442" s="1">
        <v>6706</v>
      </c>
    </row>
    <row r="1443" spans="1:37" x14ac:dyDescent="0.2">
      <c r="A1443" s="1" t="s">
        <v>1640</v>
      </c>
      <c r="B1443" s="1">
        <v>20708005</v>
      </c>
      <c r="C1443" s="1" t="s">
        <v>7420</v>
      </c>
      <c r="E1443" s="21">
        <v>543</v>
      </c>
      <c r="G1443" s="1" t="s">
        <v>6635</v>
      </c>
      <c r="H1443" s="1" t="s">
        <v>6706</v>
      </c>
      <c r="I1443" s="5">
        <v>40400</v>
      </c>
      <c r="J1443" s="18" t="s">
        <v>11</v>
      </c>
      <c r="K1443" s="1" t="s">
        <v>477</v>
      </c>
      <c r="L1443" s="1" t="s">
        <v>1639</v>
      </c>
      <c r="M1443" s="5"/>
      <c r="N1443" s="5" t="s">
        <v>11</v>
      </c>
      <c r="O1443" s="5" t="s">
        <v>11</v>
      </c>
      <c r="P1443" s="1" t="s">
        <v>5603</v>
      </c>
      <c r="Q1443" s="1" t="s">
        <v>33</v>
      </c>
      <c r="R1443" s="2" t="s">
        <v>4452</v>
      </c>
      <c r="S1443" s="1" t="s">
        <v>6243</v>
      </c>
      <c r="T1443" s="1">
        <v>236</v>
      </c>
      <c r="U1443" s="1">
        <v>236</v>
      </c>
      <c r="V1443" s="1">
        <v>236</v>
      </c>
    </row>
    <row r="1444" spans="1:37" x14ac:dyDescent="0.2">
      <c r="A1444" s="1" t="s">
        <v>347</v>
      </c>
      <c r="B1444" s="1">
        <v>20709820</v>
      </c>
      <c r="C1444" s="1" t="s">
        <v>7420</v>
      </c>
      <c r="E1444" s="21">
        <v>65</v>
      </c>
      <c r="G1444" s="1" t="s">
        <v>6631</v>
      </c>
      <c r="H1444" s="1" t="s">
        <v>6814</v>
      </c>
      <c r="I1444" s="5">
        <v>40403</v>
      </c>
      <c r="J1444" s="18" t="s">
        <v>11</v>
      </c>
      <c r="K1444" s="1" t="s">
        <v>1637</v>
      </c>
      <c r="L1444" s="1" t="s">
        <v>1638</v>
      </c>
      <c r="M1444" s="5"/>
      <c r="N1444" s="5" t="s">
        <v>10</v>
      </c>
      <c r="O1444" s="5" t="s">
        <v>10</v>
      </c>
      <c r="P1444" s="1" t="s">
        <v>6238</v>
      </c>
      <c r="Q1444" s="1" t="s">
        <v>33</v>
      </c>
      <c r="R1444" s="2" t="s">
        <v>4907</v>
      </c>
      <c r="S1444" s="1" t="s">
        <v>6243</v>
      </c>
      <c r="T1444" s="1">
        <v>2380</v>
      </c>
      <c r="U1444" s="1">
        <v>2380</v>
      </c>
      <c r="V1444" s="1">
        <v>2380</v>
      </c>
    </row>
    <row r="1445" spans="1:37" x14ac:dyDescent="0.2">
      <c r="A1445" s="1" t="s">
        <v>1653</v>
      </c>
      <c r="B1445" s="1">
        <v>20711174</v>
      </c>
      <c r="C1445" s="1" t="s">
        <v>7420</v>
      </c>
      <c r="E1445" s="21">
        <v>19</v>
      </c>
      <c r="G1445" s="1" t="s">
        <v>536</v>
      </c>
      <c r="H1445" s="1" t="s">
        <v>268</v>
      </c>
      <c r="I1445" s="5">
        <v>40405</v>
      </c>
      <c r="J1445" s="18" t="s">
        <v>11</v>
      </c>
      <c r="K1445" s="1" t="s">
        <v>28</v>
      </c>
      <c r="L1445" s="1" t="s">
        <v>1650</v>
      </c>
      <c r="M1445" s="5"/>
      <c r="N1445" s="5" t="s">
        <v>10</v>
      </c>
      <c r="O1445" s="5" t="s">
        <v>10</v>
      </c>
      <c r="P1445" s="1" t="s">
        <v>1651</v>
      </c>
      <c r="Q1445" s="1" t="s">
        <v>1652</v>
      </c>
      <c r="R1445" s="2" t="s">
        <v>4252</v>
      </c>
      <c r="S1445" s="1" t="s">
        <v>6243</v>
      </c>
      <c r="T1445" s="1">
        <v>2381</v>
      </c>
      <c r="U1445" s="1">
        <v>1516</v>
      </c>
      <c r="V1445" s="1">
        <v>1516</v>
      </c>
      <c r="AH1445" s="1">
        <v>865</v>
      </c>
      <c r="AI1445" s="1">
        <v>865</v>
      </c>
    </row>
    <row r="1446" spans="1:37" x14ac:dyDescent="0.2">
      <c r="A1446" s="1" t="s">
        <v>1656</v>
      </c>
      <c r="B1446" s="1">
        <v>20711176</v>
      </c>
      <c r="C1446" s="1" t="s">
        <v>7420</v>
      </c>
      <c r="E1446" s="21">
        <v>10</v>
      </c>
      <c r="G1446" s="1" t="s">
        <v>1657</v>
      </c>
      <c r="H1446" s="1" t="s">
        <v>1658</v>
      </c>
      <c r="I1446" s="5">
        <v>40405</v>
      </c>
      <c r="J1446" s="18" t="s">
        <v>11</v>
      </c>
      <c r="K1446" s="1" t="s">
        <v>28</v>
      </c>
      <c r="L1446" s="1" t="s">
        <v>1654</v>
      </c>
      <c r="M1446" s="5"/>
      <c r="N1446" s="5" t="s">
        <v>10</v>
      </c>
      <c r="O1446" s="5" t="s">
        <v>10</v>
      </c>
      <c r="P1446" s="1" t="s">
        <v>1655</v>
      </c>
      <c r="Q1446" s="1" t="s">
        <v>4184</v>
      </c>
      <c r="R1446" s="2" t="s">
        <v>4185</v>
      </c>
      <c r="S1446" s="1" t="s">
        <v>6242</v>
      </c>
      <c r="T1446" s="1">
        <v>3976</v>
      </c>
      <c r="U1446" s="1">
        <v>1084</v>
      </c>
      <c r="X1446" s="1">
        <v>1084</v>
      </c>
      <c r="AH1446" s="1">
        <v>2892</v>
      </c>
      <c r="AK1446" s="1">
        <v>2892</v>
      </c>
    </row>
    <row r="1447" spans="1:37" x14ac:dyDescent="0.2">
      <c r="A1447" s="1" t="s">
        <v>1649</v>
      </c>
      <c r="B1447" s="1">
        <v>20711177</v>
      </c>
      <c r="C1447" s="1" t="s">
        <v>7420</v>
      </c>
      <c r="E1447" s="21">
        <v>139</v>
      </c>
      <c r="G1447" s="1" t="s">
        <v>19</v>
      </c>
      <c r="H1447" s="1" t="s">
        <v>7195</v>
      </c>
      <c r="I1447" s="5">
        <v>40405</v>
      </c>
      <c r="J1447" s="18" t="s">
        <v>11</v>
      </c>
      <c r="K1447" s="1" t="s">
        <v>28</v>
      </c>
      <c r="L1447" s="1" t="s">
        <v>1648</v>
      </c>
      <c r="M1447" s="5"/>
      <c r="N1447" s="5" t="s">
        <v>10</v>
      </c>
      <c r="O1447" s="5" t="s">
        <v>10</v>
      </c>
      <c r="P1447" s="1" t="s">
        <v>5157</v>
      </c>
      <c r="Q1447" s="1" t="s">
        <v>6340</v>
      </c>
      <c r="R1447" s="2" t="s">
        <v>3902</v>
      </c>
      <c r="S1447" s="1" t="s">
        <v>6243</v>
      </c>
      <c r="T1447" s="1">
        <v>6901</v>
      </c>
      <c r="U1447" s="1">
        <v>3986</v>
      </c>
      <c r="V1447" s="1">
        <v>3986</v>
      </c>
      <c r="AH1447" s="1">
        <v>2915</v>
      </c>
      <c r="AI1447" s="1">
        <v>2915</v>
      </c>
    </row>
    <row r="1448" spans="1:37" x14ac:dyDescent="0.2">
      <c r="A1448" s="1" t="s">
        <v>1799</v>
      </c>
      <c r="B1448" s="1">
        <v>20713499</v>
      </c>
      <c r="C1448" s="1" t="s">
        <v>7420</v>
      </c>
      <c r="E1448" s="21">
        <v>24</v>
      </c>
      <c r="G1448" s="1" t="s">
        <v>6949</v>
      </c>
      <c r="H1448" s="1" t="s">
        <v>7151</v>
      </c>
      <c r="I1448" s="5">
        <v>40406</v>
      </c>
      <c r="J1448" s="18" t="s">
        <v>11</v>
      </c>
      <c r="K1448" s="1" t="s">
        <v>879</v>
      </c>
      <c r="L1448" s="1" t="s">
        <v>1798</v>
      </c>
      <c r="M1448" s="5"/>
      <c r="N1448" s="5" t="s">
        <v>10</v>
      </c>
      <c r="O1448" s="5" t="s">
        <v>10</v>
      </c>
      <c r="P1448" s="1" t="s">
        <v>5285</v>
      </c>
      <c r="Q1448" s="1" t="s">
        <v>33</v>
      </c>
      <c r="R1448" s="2" t="s">
        <v>4473</v>
      </c>
      <c r="S1448" s="1" t="s">
        <v>6243</v>
      </c>
      <c r="T1448" s="1">
        <v>4186</v>
      </c>
      <c r="U1448" s="1">
        <v>4186</v>
      </c>
      <c r="V1448" s="1">
        <v>4186</v>
      </c>
    </row>
    <row r="1449" spans="1:37" x14ac:dyDescent="0.2">
      <c r="A1449" s="1" t="s">
        <v>1781</v>
      </c>
      <c r="B1449" s="1">
        <v>20719862</v>
      </c>
      <c r="C1449" s="1" t="s">
        <v>7420</v>
      </c>
      <c r="E1449" s="21">
        <v>75</v>
      </c>
      <c r="G1449" s="1" t="s">
        <v>1782</v>
      </c>
      <c r="H1449" s="1" t="s">
        <v>7334</v>
      </c>
      <c r="I1449" s="5">
        <v>40423</v>
      </c>
      <c r="J1449" s="18" t="s">
        <v>11</v>
      </c>
      <c r="K1449" s="1" t="s">
        <v>103</v>
      </c>
      <c r="L1449" s="1" t="s">
        <v>1779</v>
      </c>
      <c r="M1449" s="5"/>
      <c r="N1449" s="5" t="s">
        <v>10</v>
      </c>
      <c r="O1449" s="5" t="s">
        <v>10</v>
      </c>
      <c r="P1449" s="1" t="s">
        <v>3991</v>
      </c>
      <c r="Q1449" s="1" t="s">
        <v>4551</v>
      </c>
      <c r="R1449" s="2" t="s">
        <v>1780</v>
      </c>
      <c r="S1449" s="1" t="s">
        <v>6243</v>
      </c>
      <c r="T1449" s="1">
        <v>7327</v>
      </c>
      <c r="U1449" s="1">
        <v>1445</v>
      </c>
      <c r="V1449" s="1">
        <v>1445</v>
      </c>
      <c r="AH1449" s="1">
        <v>5882</v>
      </c>
      <c r="AI1449" s="1">
        <v>5882</v>
      </c>
    </row>
    <row r="1450" spans="1:37" x14ac:dyDescent="0.2">
      <c r="A1450" s="1" t="s">
        <v>1777</v>
      </c>
      <c r="B1450" s="1">
        <v>20729852</v>
      </c>
      <c r="C1450" s="1" t="s">
        <v>7420</v>
      </c>
      <c r="E1450" s="21">
        <v>31</v>
      </c>
      <c r="G1450" s="1" t="s">
        <v>1778</v>
      </c>
      <c r="H1450" s="1" t="s">
        <v>2674</v>
      </c>
      <c r="I1450" s="5">
        <v>40412</v>
      </c>
      <c r="J1450" s="18" t="s">
        <v>11</v>
      </c>
      <c r="K1450" s="1" t="s">
        <v>28</v>
      </c>
      <c r="L1450" s="1" t="s">
        <v>1776</v>
      </c>
      <c r="M1450" s="5"/>
      <c r="N1450" s="5" t="s">
        <v>10</v>
      </c>
      <c r="O1450" s="5" t="s">
        <v>10</v>
      </c>
      <c r="P1450" s="1" t="s">
        <v>4177</v>
      </c>
      <c r="Q1450" s="1" t="s">
        <v>33</v>
      </c>
      <c r="R1450" s="2" t="s">
        <v>4002</v>
      </c>
      <c r="S1450" s="1" t="s">
        <v>6242</v>
      </c>
      <c r="T1450" s="1">
        <v>5623</v>
      </c>
      <c r="U1450" s="1">
        <v>5623</v>
      </c>
      <c r="X1450" s="1">
        <v>5623</v>
      </c>
    </row>
    <row r="1451" spans="1:37" x14ac:dyDescent="0.2">
      <c r="A1451" s="1" t="s">
        <v>1543</v>
      </c>
      <c r="B1451" s="1">
        <v>20729853</v>
      </c>
      <c r="C1451" s="1" t="s">
        <v>7420</v>
      </c>
      <c r="E1451" s="21">
        <v>28</v>
      </c>
      <c r="G1451" s="1" t="s">
        <v>6958</v>
      </c>
      <c r="H1451" s="1" t="s">
        <v>6959</v>
      </c>
      <c r="I1451" s="5">
        <v>40412</v>
      </c>
      <c r="J1451" s="18" t="s">
        <v>11</v>
      </c>
      <c r="K1451" s="1" t="s">
        <v>28</v>
      </c>
      <c r="L1451" s="1" t="s">
        <v>1775</v>
      </c>
      <c r="M1451" s="5"/>
      <c r="N1451" s="5" t="s">
        <v>10</v>
      </c>
      <c r="O1451" s="5" t="s">
        <v>10</v>
      </c>
      <c r="P1451" s="1" t="s">
        <v>3963</v>
      </c>
      <c r="Q1451" s="1" t="s">
        <v>4720</v>
      </c>
      <c r="R1451" s="2" t="s">
        <v>4641</v>
      </c>
      <c r="S1451" s="1" t="s">
        <v>6242</v>
      </c>
      <c r="T1451" s="1">
        <v>22336</v>
      </c>
      <c r="U1451" s="1">
        <v>2810</v>
      </c>
      <c r="X1451" s="1">
        <v>2810</v>
      </c>
      <c r="AH1451" s="1">
        <v>19526</v>
      </c>
      <c r="AK1451" s="1">
        <v>19526</v>
      </c>
    </row>
    <row r="1452" spans="1:37" x14ac:dyDescent="0.2">
      <c r="A1452" s="1" t="s">
        <v>1433</v>
      </c>
      <c r="B1452" s="1">
        <v>20732625</v>
      </c>
      <c r="C1452" s="1" t="s">
        <v>7420</v>
      </c>
      <c r="E1452" s="21">
        <v>100</v>
      </c>
      <c r="G1452" s="1" t="s">
        <v>591</v>
      </c>
      <c r="H1452" s="1" t="s">
        <v>7127</v>
      </c>
      <c r="I1452" s="5">
        <v>40391</v>
      </c>
      <c r="J1452" s="18" t="s">
        <v>10</v>
      </c>
      <c r="K1452" s="1" t="s">
        <v>1243</v>
      </c>
      <c r="L1452" s="1" t="s">
        <v>2890</v>
      </c>
      <c r="M1452" s="5"/>
      <c r="N1452" s="5" t="s">
        <v>10</v>
      </c>
      <c r="O1452" s="5" t="s">
        <v>10</v>
      </c>
      <c r="P1452" s="1" t="s">
        <v>6341</v>
      </c>
      <c r="Q1452" s="1" t="s">
        <v>33</v>
      </c>
      <c r="R1452" s="2" t="s">
        <v>6459</v>
      </c>
      <c r="S1452" s="1" t="s">
        <v>6243</v>
      </c>
      <c r="T1452" s="1">
        <v>9543</v>
      </c>
      <c r="U1452" s="1">
        <v>9543</v>
      </c>
      <c r="V1452" s="1">
        <v>9543</v>
      </c>
    </row>
    <row r="1453" spans="1:37" x14ac:dyDescent="0.2">
      <c r="A1453" s="1" t="s">
        <v>1668</v>
      </c>
      <c r="B1453" s="1">
        <v>20732626</v>
      </c>
      <c r="C1453" s="1" t="s">
        <v>7420</v>
      </c>
      <c r="E1453" s="21">
        <v>43</v>
      </c>
      <c r="G1453" s="1" t="s">
        <v>591</v>
      </c>
      <c r="H1453" s="1" t="s">
        <v>7127</v>
      </c>
      <c r="I1453" s="5">
        <v>40312</v>
      </c>
      <c r="J1453" s="18" t="s">
        <v>11</v>
      </c>
      <c r="K1453" s="1" t="s">
        <v>1243</v>
      </c>
      <c r="L1453" s="1" t="s">
        <v>1667</v>
      </c>
      <c r="M1453" s="5"/>
      <c r="N1453" s="5" t="s">
        <v>10</v>
      </c>
      <c r="O1453" s="5" t="s">
        <v>10</v>
      </c>
      <c r="P1453" s="1" t="s">
        <v>3531</v>
      </c>
      <c r="Q1453" s="1" t="s">
        <v>33</v>
      </c>
      <c r="R1453" s="2" t="s">
        <v>4534</v>
      </c>
      <c r="S1453" s="1" t="s">
        <v>6389</v>
      </c>
      <c r="T1453" s="1">
        <v>1470</v>
      </c>
      <c r="U1453" s="1">
        <v>1470</v>
      </c>
      <c r="V1453" s="1">
        <v>1352</v>
      </c>
      <c r="AE1453" s="1">
        <v>118</v>
      </c>
    </row>
    <row r="1454" spans="1:37" x14ac:dyDescent="0.2">
      <c r="A1454" s="1" t="s">
        <v>1433</v>
      </c>
      <c r="B1454" s="1">
        <v>20732627</v>
      </c>
      <c r="C1454" s="1" t="s">
        <v>7420</v>
      </c>
      <c r="E1454" s="21">
        <v>100</v>
      </c>
      <c r="G1454" s="1" t="s">
        <v>591</v>
      </c>
      <c r="H1454" s="1" t="s">
        <v>7127</v>
      </c>
      <c r="I1454" s="5">
        <v>40395</v>
      </c>
      <c r="J1454" s="18" t="s">
        <v>11</v>
      </c>
      <c r="K1454" s="1" t="s">
        <v>1243</v>
      </c>
      <c r="L1454" s="1" t="s">
        <v>1669</v>
      </c>
      <c r="M1454" s="5"/>
      <c r="N1454" s="5" t="s">
        <v>10</v>
      </c>
      <c r="O1454" s="5" t="s">
        <v>10</v>
      </c>
      <c r="P1454" s="1" t="s">
        <v>5409</v>
      </c>
      <c r="Q1454" s="1" t="s">
        <v>33</v>
      </c>
      <c r="R1454" s="2" t="s">
        <v>4395</v>
      </c>
      <c r="S1454" s="1" t="s">
        <v>6243</v>
      </c>
      <c r="T1454" s="1">
        <v>3351</v>
      </c>
      <c r="U1454" s="1">
        <v>3351</v>
      </c>
      <c r="V1454" s="1">
        <v>3351</v>
      </c>
    </row>
    <row r="1455" spans="1:37" x14ac:dyDescent="0.2">
      <c r="A1455" s="1" t="s">
        <v>615</v>
      </c>
      <c r="B1455" s="1">
        <v>20800221</v>
      </c>
      <c r="C1455" s="1" t="s">
        <v>7420</v>
      </c>
      <c r="E1455" s="21">
        <v>2202</v>
      </c>
      <c r="G1455" s="1" t="s">
        <v>1773</v>
      </c>
      <c r="H1455" s="1" t="s">
        <v>1774</v>
      </c>
      <c r="I1455" s="5">
        <v>40415</v>
      </c>
      <c r="J1455" s="18" t="s">
        <v>11</v>
      </c>
      <c r="K1455" s="1" t="s">
        <v>1128</v>
      </c>
      <c r="L1455" s="1" t="s">
        <v>1771</v>
      </c>
      <c r="M1455" s="5"/>
      <c r="N1455" s="5" t="s">
        <v>10</v>
      </c>
      <c r="O1455" s="5" t="s">
        <v>10</v>
      </c>
      <c r="P1455" s="1" t="s">
        <v>5244</v>
      </c>
      <c r="Q1455" s="1" t="s">
        <v>33</v>
      </c>
      <c r="R1455" s="2" t="s">
        <v>1772</v>
      </c>
      <c r="S1455" s="1" t="s">
        <v>6243</v>
      </c>
      <c r="T1455" s="1">
        <v>4811</v>
      </c>
      <c r="U1455" s="1">
        <v>4811</v>
      </c>
      <c r="V1455" s="1">
        <v>4811</v>
      </c>
    </row>
    <row r="1456" spans="1:37" x14ac:dyDescent="0.2">
      <c r="A1456" s="1" t="s">
        <v>1770</v>
      </c>
      <c r="B1456" s="1">
        <v>20801717</v>
      </c>
      <c r="C1456" s="1" t="s">
        <v>7420</v>
      </c>
      <c r="E1456" s="21">
        <v>73</v>
      </c>
      <c r="G1456" s="1" t="s">
        <v>57</v>
      </c>
      <c r="H1456" s="1" t="s">
        <v>7142</v>
      </c>
      <c r="I1456" s="5">
        <v>40417</v>
      </c>
      <c r="J1456" s="18" t="s">
        <v>11</v>
      </c>
      <c r="K1456" s="1" t="s">
        <v>31</v>
      </c>
      <c r="L1456" s="1" t="s">
        <v>1769</v>
      </c>
      <c r="M1456" s="5"/>
      <c r="N1456" s="5" t="s">
        <v>10</v>
      </c>
      <c r="O1456" s="5" t="s">
        <v>10</v>
      </c>
      <c r="P1456" s="1" t="s">
        <v>5281</v>
      </c>
      <c r="Q1456" s="1" t="s">
        <v>33</v>
      </c>
      <c r="R1456" s="2" t="s">
        <v>4753</v>
      </c>
      <c r="S1456" s="1" t="s">
        <v>6243</v>
      </c>
      <c r="T1456" s="1">
        <v>13844</v>
      </c>
      <c r="U1456" s="1">
        <v>13844</v>
      </c>
      <c r="V1456" s="1">
        <v>13844</v>
      </c>
    </row>
    <row r="1457" spans="1:37" x14ac:dyDescent="0.2">
      <c r="A1457" s="1" t="s">
        <v>1768</v>
      </c>
      <c r="B1457" s="1">
        <v>20801718</v>
      </c>
      <c r="C1457" s="1" t="s">
        <v>7420</v>
      </c>
      <c r="E1457" s="21">
        <v>81</v>
      </c>
      <c r="G1457" s="1" t="s">
        <v>57</v>
      </c>
      <c r="H1457" s="1" t="s">
        <v>7142</v>
      </c>
      <c r="I1457" s="5">
        <v>40417</v>
      </c>
      <c r="J1457" s="18" t="s">
        <v>11</v>
      </c>
      <c r="K1457" s="1" t="s">
        <v>31</v>
      </c>
      <c r="L1457" s="1" t="s">
        <v>1766</v>
      </c>
      <c r="M1457" s="5"/>
      <c r="N1457" s="5" t="s">
        <v>10</v>
      </c>
      <c r="O1457" s="5" t="s">
        <v>10</v>
      </c>
      <c r="P1457" s="1" t="s">
        <v>1767</v>
      </c>
      <c r="Q1457" s="1" t="s">
        <v>33</v>
      </c>
      <c r="R1457" s="2" t="s">
        <v>4836</v>
      </c>
      <c r="S1457" s="1" t="s">
        <v>6243</v>
      </c>
      <c r="T1457" s="1">
        <v>902</v>
      </c>
      <c r="U1457" s="1">
        <v>902</v>
      </c>
      <c r="V1457" s="1">
        <v>902</v>
      </c>
    </row>
    <row r="1458" spans="1:37" x14ac:dyDescent="0.2">
      <c r="A1458" s="1" t="s">
        <v>1765</v>
      </c>
      <c r="B1458" s="1">
        <v>20802025</v>
      </c>
      <c r="C1458" s="1" t="s">
        <v>7420</v>
      </c>
      <c r="E1458" s="21">
        <v>511</v>
      </c>
      <c r="G1458" s="1" t="s">
        <v>6909</v>
      </c>
      <c r="H1458" s="1" t="s">
        <v>7202</v>
      </c>
      <c r="I1458" s="5">
        <v>40417</v>
      </c>
      <c r="J1458" s="18" t="s">
        <v>11</v>
      </c>
      <c r="K1458" s="1" t="s">
        <v>455</v>
      </c>
      <c r="L1458" s="1" t="s">
        <v>1764</v>
      </c>
      <c r="M1458" s="5"/>
      <c r="N1458" s="5" t="s">
        <v>10</v>
      </c>
      <c r="O1458" s="5" t="s">
        <v>10</v>
      </c>
      <c r="P1458" s="1" t="s">
        <v>5390</v>
      </c>
      <c r="Q1458" s="1" t="s">
        <v>5391</v>
      </c>
      <c r="R1458" s="2" t="s">
        <v>4271</v>
      </c>
      <c r="S1458" s="1" t="s">
        <v>6243</v>
      </c>
      <c r="T1458" s="1">
        <v>9424</v>
      </c>
      <c r="U1458" s="1">
        <v>8048</v>
      </c>
      <c r="V1458" s="1">
        <v>8048</v>
      </c>
      <c r="AH1458" s="1">
        <v>1376</v>
      </c>
      <c r="AI1458" s="1">
        <v>1376</v>
      </c>
    </row>
    <row r="1459" spans="1:37" x14ac:dyDescent="0.2">
      <c r="A1459" s="1" t="s">
        <v>605</v>
      </c>
      <c r="B1459" s="1">
        <v>20802204</v>
      </c>
      <c r="C1459" s="1" t="s">
        <v>7420</v>
      </c>
      <c r="E1459" s="21">
        <v>59</v>
      </c>
      <c r="G1459" s="1" t="s">
        <v>7028</v>
      </c>
      <c r="H1459" s="1" t="s">
        <v>7403</v>
      </c>
      <c r="I1459" s="5">
        <v>40422</v>
      </c>
      <c r="J1459" s="18" t="s">
        <v>11</v>
      </c>
      <c r="K1459" s="1" t="s">
        <v>1559</v>
      </c>
      <c r="L1459" s="1" t="s">
        <v>1763</v>
      </c>
      <c r="M1459" s="5"/>
      <c r="N1459" s="5" t="s">
        <v>10</v>
      </c>
      <c r="O1459" s="5" t="s">
        <v>10</v>
      </c>
      <c r="P1459" s="1" t="s">
        <v>3678</v>
      </c>
      <c r="Q1459" s="1" t="s">
        <v>33</v>
      </c>
      <c r="R1459" s="2" t="s">
        <v>4958</v>
      </c>
      <c r="S1459" s="1" t="s">
        <v>6243</v>
      </c>
      <c r="T1459" s="1">
        <v>372</v>
      </c>
      <c r="U1459" s="1">
        <v>372</v>
      </c>
      <c r="V1459" s="1">
        <v>372</v>
      </c>
    </row>
    <row r="1460" spans="1:37" x14ac:dyDescent="0.2">
      <c r="A1460" s="1" t="s">
        <v>1726</v>
      </c>
      <c r="B1460" s="1">
        <v>20802479</v>
      </c>
      <c r="C1460" s="1" t="s">
        <v>7420</v>
      </c>
      <c r="E1460" s="21">
        <v>20</v>
      </c>
      <c r="G1460" s="1" t="s">
        <v>1727</v>
      </c>
      <c r="H1460" s="1" t="s">
        <v>70</v>
      </c>
      <c r="I1460" s="5">
        <v>40419</v>
      </c>
      <c r="J1460" s="18" t="s">
        <v>11</v>
      </c>
      <c r="K1460" s="1" t="s">
        <v>28</v>
      </c>
      <c r="L1460" s="1" t="s">
        <v>1725</v>
      </c>
      <c r="M1460" s="5"/>
      <c r="N1460" s="5" t="s">
        <v>10</v>
      </c>
      <c r="O1460" s="5" t="s">
        <v>10</v>
      </c>
      <c r="P1460" s="1" t="s">
        <v>5003</v>
      </c>
      <c r="Q1460" s="1" t="s">
        <v>5004</v>
      </c>
      <c r="R1460" s="2" t="s">
        <v>4905</v>
      </c>
      <c r="S1460" s="1" t="s">
        <v>6243</v>
      </c>
      <c r="T1460" s="1">
        <v>56742</v>
      </c>
      <c r="U1460" s="1">
        <v>13478</v>
      </c>
      <c r="V1460" s="1">
        <v>13478</v>
      </c>
      <c r="AH1460" s="1">
        <v>43264</v>
      </c>
      <c r="AI1460" s="1">
        <v>43264</v>
      </c>
    </row>
    <row r="1461" spans="1:37" x14ac:dyDescent="0.2">
      <c r="A1461" s="1" t="s">
        <v>1761</v>
      </c>
      <c r="B1461" s="1">
        <v>20808326</v>
      </c>
      <c r="C1461" s="1" t="s">
        <v>7420</v>
      </c>
      <c r="E1461" s="21">
        <v>21</v>
      </c>
      <c r="G1461" s="1" t="s">
        <v>1762</v>
      </c>
      <c r="H1461" s="1" t="s">
        <v>1414</v>
      </c>
      <c r="I1461" s="5">
        <v>40422</v>
      </c>
      <c r="J1461" s="18" t="s">
        <v>11</v>
      </c>
      <c r="K1461" s="1" t="s">
        <v>592</v>
      </c>
      <c r="L1461" s="1" t="s">
        <v>1758</v>
      </c>
      <c r="M1461" s="5"/>
      <c r="N1461" s="5" t="s">
        <v>10</v>
      </c>
      <c r="O1461" s="5" t="s">
        <v>10</v>
      </c>
      <c r="P1461" s="1" t="s">
        <v>1759</v>
      </c>
      <c r="Q1461" s="1" t="s">
        <v>1760</v>
      </c>
      <c r="R1461" s="2" t="s">
        <v>4950</v>
      </c>
      <c r="S1461" s="1" t="s">
        <v>6243</v>
      </c>
      <c r="T1461" s="1">
        <v>1653</v>
      </c>
      <c r="U1461" s="1">
        <v>240</v>
      </c>
      <c r="V1461" s="1">
        <v>240</v>
      </c>
      <c r="AH1461" s="1">
        <v>1413</v>
      </c>
      <c r="AI1461" s="1">
        <v>1413</v>
      </c>
    </row>
    <row r="1462" spans="1:37" x14ac:dyDescent="0.2">
      <c r="A1462" s="1" t="s">
        <v>84</v>
      </c>
      <c r="B1462" s="1">
        <v>20811658</v>
      </c>
      <c r="C1462" s="1" t="s">
        <v>7420</v>
      </c>
      <c r="E1462" s="21">
        <v>336</v>
      </c>
      <c r="G1462" s="1" t="s">
        <v>2570</v>
      </c>
      <c r="H1462" s="1" t="s">
        <v>7156</v>
      </c>
      <c r="I1462" s="5">
        <v>40414</v>
      </c>
      <c r="J1462" s="18" t="s">
        <v>11</v>
      </c>
      <c r="K1462" s="1" t="s">
        <v>474</v>
      </c>
      <c r="L1462" s="1" t="s">
        <v>1757</v>
      </c>
      <c r="M1462" s="5"/>
      <c r="N1462" s="5" t="s">
        <v>10</v>
      </c>
      <c r="O1462" s="5" t="s">
        <v>10</v>
      </c>
      <c r="P1462" s="1" t="s">
        <v>6100</v>
      </c>
      <c r="Q1462" s="1" t="s">
        <v>33</v>
      </c>
      <c r="R1462" s="2" t="s">
        <v>4583</v>
      </c>
      <c r="S1462" s="1" t="s">
        <v>6243</v>
      </c>
      <c r="T1462" s="1">
        <v>369</v>
      </c>
      <c r="U1462" s="1">
        <v>369</v>
      </c>
      <c r="V1462" s="1">
        <v>369</v>
      </c>
    </row>
    <row r="1463" spans="1:37" x14ac:dyDescent="0.2">
      <c r="A1463" s="1" t="s">
        <v>1744</v>
      </c>
      <c r="B1463" s="1">
        <v>20818381</v>
      </c>
      <c r="C1463" s="1" t="s">
        <v>7420</v>
      </c>
      <c r="E1463" s="21">
        <v>101</v>
      </c>
      <c r="G1463" s="1" t="s">
        <v>61</v>
      </c>
      <c r="H1463" s="1" t="s">
        <v>7396</v>
      </c>
      <c r="I1463" s="5">
        <v>40426</v>
      </c>
      <c r="J1463" s="18" t="s">
        <v>11</v>
      </c>
      <c r="K1463" s="1" t="s">
        <v>28</v>
      </c>
      <c r="L1463" s="1" t="s">
        <v>1743</v>
      </c>
      <c r="M1463" s="5"/>
      <c r="N1463" s="5" t="s">
        <v>10</v>
      </c>
      <c r="O1463" s="5" t="s">
        <v>10</v>
      </c>
      <c r="P1463" s="1" t="s">
        <v>4469</v>
      </c>
      <c r="Q1463" s="1" t="s">
        <v>5015</v>
      </c>
      <c r="R1463" s="2" t="s">
        <v>4919</v>
      </c>
      <c r="S1463" s="1" t="s">
        <v>6244</v>
      </c>
      <c r="T1463" s="1">
        <v>43425</v>
      </c>
      <c r="U1463" s="1">
        <v>7541</v>
      </c>
      <c r="X1463" s="1">
        <v>7541</v>
      </c>
      <c r="AH1463" s="1">
        <v>35884</v>
      </c>
      <c r="AI1463" s="1">
        <v>15595</v>
      </c>
      <c r="AK1463" s="1">
        <v>20289</v>
      </c>
    </row>
    <row r="1464" spans="1:37" x14ac:dyDescent="0.2">
      <c r="A1464" s="1" t="s">
        <v>2659</v>
      </c>
      <c r="B1464" s="1">
        <v>20818722</v>
      </c>
      <c r="C1464" s="1" t="s">
        <v>7420</v>
      </c>
      <c r="E1464" s="21">
        <v>20</v>
      </c>
      <c r="G1464" s="1" t="s">
        <v>370</v>
      </c>
      <c r="H1464" s="1" t="s">
        <v>7229</v>
      </c>
      <c r="I1464" s="5">
        <v>40407</v>
      </c>
      <c r="J1464" s="18" t="s">
        <v>10</v>
      </c>
      <c r="K1464" s="1" t="s">
        <v>2891</v>
      </c>
      <c r="L1464" s="1" t="s">
        <v>2892</v>
      </c>
      <c r="N1464" s="5" t="s">
        <v>10</v>
      </c>
      <c r="O1464" s="5" t="s">
        <v>10</v>
      </c>
      <c r="P1464" s="1" t="s">
        <v>3360</v>
      </c>
      <c r="Q1464" s="1" t="s">
        <v>33</v>
      </c>
      <c r="R1464" s="2" t="s">
        <v>5684</v>
      </c>
      <c r="S1464" s="1" t="s">
        <v>6248</v>
      </c>
      <c r="T1464" s="1">
        <v>1167</v>
      </c>
      <c r="U1464" s="1">
        <v>1167</v>
      </c>
      <c r="AE1464" s="1">
        <v>1167</v>
      </c>
    </row>
    <row r="1465" spans="1:37" x14ac:dyDescent="0.2">
      <c r="A1465" s="1" t="s">
        <v>1830</v>
      </c>
      <c r="B1465" s="1">
        <v>20825314</v>
      </c>
      <c r="C1465" s="1" t="s">
        <v>7420</v>
      </c>
      <c r="E1465" s="21">
        <v>17</v>
      </c>
      <c r="G1465" s="1" t="s">
        <v>1831</v>
      </c>
      <c r="H1465" s="1" t="s">
        <v>188</v>
      </c>
      <c r="I1465" s="5">
        <v>40430</v>
      </c>
      <c r="J1465" s="18" t="s">
        <v>11</v>
      </c>
      <c r="K1465" s="1" t="s">
        <v>157</v>
      </c>
      <c r="L1465" s="1" t="s">
        <v>1829</v>
      </c>
      <c r="M1465" s="5"/>
      <c r="N1465" s="5" t="s">
        <v>10</v>
      </c>
      <c r="O1465" s="5" t="s">
        <v>10</v>
      </c>
      <c r="P1465" s="1" t="s">
        <v>5503</v>
      </c>
      <c r="Q1465" s="1" t="s">
        <v>5504</v>
      </c>
      <c r="R1465" s="2" t="s">
        <v>4983</v>
      </c>
      <c r="S1465" s="1" t="s">
        <v>6243</v>
      </c>
      <c r="T1465" s="1">
        <v>690</v>
      </c>
      <c r="U1465" s="1">
        <v>390</v>
      </c>
      <c r="V1465" s="1">
        <v>390</v>
      </c>
      <c r="AH1465" s="1">
        <v>300</v>
      </c>
      <c r="AI1465" s="1">
        <v>300</v>
      </c>
    </row>
    <row r="1466" spans="1:37" x14ac:dyDescent="0.2">
      <c r="A1466" s="1" t="s">
        <v>1756</v>
      </c>
      <c r="B1466" s="1">
        <v>20826269</v>
      </c>
      <c r="C1466" s="1" t="s">
        <v>7420</v>
      </c>
      <c r="E1466" s="21">
        <v>52</v>
      </c>
      <c r="G1466" s="1" t="s">
        <v>6967</v>
      </c>
      <c r="H1466" s="1" t="s">
        <v>7326</v>
      </c>
      <c r="I1466" s="5">
        <v>40431</v>
      </c>
      <c r="J1466" s="18" t="s">
        <v>11</v>
      </c>
      <c r="K1466" s="1" t="s">
        <v>16</v>
      </c>
      <c r="L1466" s="1" t="s">
        <v>1755</v>
      </c>
      <c r="M1466" s="5"/>
      <c r="N1466" s="5" t="s">
        <v>10</v>
      </c>
      <c r="O1466" s="5" t="s">
        <v>10</v>
      </c>
      <c r="P1466" s="1" t="s">
        <v>4194</v>
      </c>
      <c r="Q1466" s="1" t="s">
        <v>4042</v>
      </c>
      <c r="R1466" s="2" t="s">
        <v>4999</v>
      </c>
      <c r="S1466" s="1" t="s">
        <v>6243</v>
      </c>
      <c r="T1466" s="1">
        <v>3107</v>
      </c>
      <c r="U1466" s="1">
        <v>2014</v>
      </c>
      <c r="V1466" s="1">
        <v>2014</v>
      </c>
      <c r="AH1466" s="1">
        <v>1093</v>
      </c>
      <c r="AI1466" s="1">
        <v>1093</v>
      </c>
    </row>
    <row r="1467" spans="1:37" x14ac:dyDescent="0.2">
      <c r="A1467" s="1" t="s">
        <v>1754</v>
      </c>
      <c r="B1467" s="1">
        <v>20830292</v>
      </c>
      <c r="C1467" s="1" t="s">
        <v>7420</v>
      </c>
      <c r="E1467" s="21">
        <v>4</v>
      </c>
      <c r="G1467" s="1" t="s">
        <v>6994</v>
      </c>
      <c r="H1467" s="1" t="s">
        <v>6993</v>
      </c>
      <c r="I1467" s="5">
        <v>40428</v>
      </c>
      <c r="J1467" s="18" t="s">
        <v>10</v>
      </c>
      <c r="K1467" s="1" t="s">
        <v>181</v>
      </c>
      <c r="L1467" s="1" t="s">
        <v>2893</v>
      </c>
      <c r="M1467" s="5"/>
      <c r="N1467" s="5" t="s">
        <v>10</v>
      </c>
      <c r="O1467" s="5" t="s">
        <v>10</v>
      </c>
      <c r="P1467" s="1" t="s">
        <v>3393</v>
      </c>
      <c r="Q1467" s="1" t="s">
        <v>33</v>
      </c>
      <c r="R1467" s="2" t="s">
        <v>5888</v>
      </c>
      <c r="S1467" s="1" t="s">
        <v>6244</v>
      </c>
      <c r="T1467" s="1">
        <v>46</v>
      </c>
      <c r="U1467" s="1">
        <v>46</v>
      </c>
      <c r="AD1467" s="1">
        <v>46</v>
      </c>
    </row>
    <row r="1468" spans="1:37" x14ac:dyDescent="0.2">
      <c r="A1468" s="1" t="s">
        <v>1753</v>
      </c>
      <c r="B1468" s="1">
        <v>20832056</v>
      </c>
      <c r="C1468" s="1" t="s">
        <v>7420</v>
      </c>
      <c r="E1468" s="21">
        <v>200</v>
      </c>
      <c r="G1468" s="1" t="s">
        <v>74</v>
      </c>
      <c r="H1468" s="1" t="s">
        <v>2545</v>
      </c>
      <c r="I1468" s="5">
        <v>40429</v>
      </c>
      <c r="J1468" s="18" t="s">
        <v>11</v>
      </c>
      <c r="K1468" s="1" t="s">
        <v>1128</v>
      </c>
      <c r="L1468" s="1" t="s">
        <v>1751</v>
      </c>
      <c r="M1468" s="5"/>
      <c r="N1468" s="5" t="s">
        <v>10</v>
      </c>
      <c r="O1468" s="5" t="s">
        <v>10</v>
      </c>
      <c r="P1468" s="1" t="s">
        <v>1752</v>
      </c>
      <c r="Q1468" s="1" t="s">
        <v>4251</v>
      </c>
      <c r="R1468" s="2" t="s">
        <v>4759</v>
      </c>
      <c r="S1468" s="1" t="s">
        <v>6244</v>
      </c>
      <c r="T1468" s="1">
        <v>8487</v>
      </c>
      <c r="U1468" s="1">
        <v>1108</v>
      </c>
      <c r="X1468" s="1">
        <v>1108</v>
      </c>
      <c r="AH1468" s="1">
        <v>7379</v>
      </c>
      <c r="AI1468" s="1">
        <v>3417</v>
      </c>
      <c r="AK1468" s="1">
        <v>3962</v>
      </c>
    </row>
    <row r="1469" spans="1:37" x14ac:dyDescent="0.2">
      <c r="A1469" s="1" t="s">
        <v>1793</v>
      </c>
      <c r="B1469" s="1">
        <v>20833654</v>
      </c>
      <c r="C1469" s="1" t="s">
        <v>7420</v>
      </c>
      <c r="E1469" s="21">
        <v>7007</v>
      </c>
      <c r="F1469" s="17">
        <v>1</v>
      </c>
      <c r="G1469" s="1" t="s">
        <v>1794</v>
      </c>
      <c r="H1469" s="1" t="s">
        <v>7350</v>
      </c>
      <c r="I1469" s="5">
        <v>40431</v>
      </c>
      <c r="J1469" s="18" t="s">
        <v>10</v>
      </c>
      <c r="K1469" s="1" t="s">
        <v>103</v>
      </c>
      <c r="L1469" s="1" t="s">
        <v>2894</v>
      </c>
      <c r="M1469" s="5"/>
      <c r="N1469" s="5" t="s">
        <v>10</v>
      </c>
      <c r="O1469" s="5" t="s">
        <v>10</v>
      </c>
      <c r="P1469" s="2" t="s">
        <v>6651</v>
      </c>
      <c r="Q1469" s="1" t="s">
        <v>33</v>
      </c>
      <c r="R1469" s="2" t="s">
        <v>5728</v>
      </c>
      <c r="S1469" s="1" t="s">
        <v>6243</v>
      </c>
      <c r="T1469" s="1">
        <v>200</v>
      </c>
      <c r="U1469" s="1">
        <v>200</v>
      </c>
      <c r="V1469" s="1">
        <v>200</v>
      </c>
    </row>
    <row r="1470" spans="1:37" x14ac:dyDescent="0.2">
      <c r="A1470" s="1" t="s">
        <v>1749</v>
      </c>
      <c r="B1470" s="1">
        <v>20833655</v>
      </c>
      <c r="C1470" s="1" t="s">
        <v>7420</v>
      </c>
      <c r="E1470" s="21">
        <v>31</v>
      </c>
      <c r="G1470" s="1" t="s">
        <v>1750</v>
      </c>
      <c r="H1470" s="1" t="s">
        <v>458</v>
      </c>
      <c r="I1470" s="5">
        <v>40431</v>
      </c>
      <c r="J1470" s="18" t="s">
        <v>11</v>
      </c>
      <c r="K1470" s="1" t="s">
        <v>103</v>
      </c>
      <c r="L1470" s="1" t="s">
        <v>1747</v>
      </c>
      <c r="M1470" s="5"/>
      <c r="N1470" s="5" t="s">
        <v>10</v>
      </c>
      <c r="O1470" s="5" t="s">
        <v>10</v>
      </c>
      <c r="P1470" s="1" t="s">
        <v>1748</v>
      </c>
      <c r="Q1470" s="1" t="s">
        <v>6342</v>
      </c>
      <c r="R1470" s="2" t="s">
        <v>4601</v>
      </c>
      <c r="S1470" s="1" t="s">
        <v>6242</v>
      </c>
      <c r="T1470" s="1">
        <v>1958</v>
      </c>
      <c r="U1470" s="1">
        <v>1514</v>
      </c>
      <c r="X1470" s="1">
        <v>1514</v>
      </c>
      <c r="AH1470" s="1">
        <v>444</v>
      </c>
      <c r="AK1470" s="1">
        <v>444</v>
      </c>
    </row>
    <row r="1471" spans="1:37" x14ac:dyDescent="0.2">
      <c r="A1471" s="1" t="s">
        <v>1088</v>
      </c>
      <c r="B1471" s="1">
        <v>20833657</v>
      </c>
      <c r="C1471" s="1" t="s">
        <v>7420</v>
      </c>
      <c r="E1471" s="21">
        <v>10</v>
      </c>
      <c r="G1471" s="1" t="s">
        <v>6958</v>
      </c>
      <c r="H1471" s="1" t="s">
        <v>6959</v>
      </c>
      <c r="I1471" s="5">
        <v>40440</v>
      </c>
      <c r="J1471" s="18" t="s">
        <v>10</v>
      </c>
      <c r="K1471" s="1" t="s">
        <v>2051</v>
      </c>
      <c r="L1471" s="1" t="s">
        <v>2895</v>
      </c>
      <c r="M1471" s="5"/>
      <c r="N1471" s="5" t="s">
        <v>10</v>
      </c>
      <c r="O1471" s="5" t="s">
        <v>10</v>
      </c>
      <c r="P1471" s="1" t="s">
        <v>3394</v>
      </c>
      <c r="Q1471" s="1" t="s">
        <v>3395</v>
      </c>
      <c r="R1471" s="2" t="s">
        <v>5857</v>
      </c>
      <c r="S1471" s="1" t="s">
        <v>6242</v>
      </c>
      <c r="T1471" s="1">
        <v>3775</v>
      </c>
      <c r="U1471" s="1">
        <v>1288</v>
      </c>
      <c r="X1471" s="1">
        <v>1288</v>
      </c>
      <c r="AH1471" s="1">
        <v>2487</v>
      </c>
      <c r="AK1471" s="1">
        <v>2487</v>
      </c>
    </row>
    <row r="1472" spans="1:37" x14ac:dyDescent="0.2">
      <c r="A1472" s="1" t="s">
        <v>2695</v>
      </c>
      <c r="B1472" s="1">
        <v>20834067</v>
      </c>
      <c r="C1472" s="1" t="s">
        <v>7420</v>
      </c>
      <c r="D1472" s="1">
        <v>1</v>
      </c>
      <c r="E1472" s="21">
        <v>0</v>
      </c>
      <c r="G1472" s="1" t="s">
        <v>1387</v>
      </c>
      <c r="H1472" s="1" t="s">
        <v>2428</v>
      </c>
      <c r="I1472" s="5">
        <v>40416</v>
      </c>
      <c r="J1472" s="18" t="s">
        <v>11</v>
      </c>
      <c r="K1472" s="1" t="s">
        <v>2702</v>
      </c>
      <c r="L1472" s="1" t="s">
        <v>2703</v>
      </c>
      <c r="N1472" s="5" t="s">
        <v>10</v>
      </c>
      <c r="O1472" s="5" t="s">
        <v>10</v>
      </c>
      <c r="P1472" s="1" t="s">
        <v>3732</v>
      </c>
      <c r="Q1472" s="1" t="s">
        <v>33</v>
      </c>
      <c r="R1472" s="2" t="s">
        <v>6451</v>
      </c>
      <c r="S1472" s="1" t="s">
        <v>6243</v>
      </c>
      <c r="T1472" s="1">
        <v>1173</v>
      </c>
      <c r="U1472" s="1">
        <v>1173</v>
      </c>
      <c r="V1472" s="1">
        <v>1173</v>
      </c>
    </row>
    <row r="1473" spans="1:38" x14ac:dyDescent="0.2">
      <c r="A1473" s="1" t="s">
        <v>1738</v>
      </c>
      <c r="B1473" s="1">
        <v>20835236</v>
      </c>
      <c r="C1473" s="1" t="s">
        <v>7420</v>
      </c>
      <c r="E1473" s="21">
        <v>29</v>
      </c>
      <c r="G1473" s="1" t="s">
        <v>1739</v>
      </c>
      <c r="H1473" s="1" t="s">
        <v>1102</v>
      </c>
      <c r="I1473" s="5">
        <v>40433</v>
      </c>
      <c r="J1473" s="18" t="s">
        <v>11</v>
      </c>
      <c r="K1473" s="1" t="s">
        <v>28</v>
      </c>
      <c r="L1473" s="1" t="s">
        <v>1736</v>
      </c>
      <c r="M1473" s="5"/>
      <c r="N1473" s="5" t="s">
        <v>10</v>
      </c>
      <c r="O1473" s="5" t="s">
        <v>10</v>
      </c>
      <c r="P1473" s="1" t="s">
        <v>4467</v>
      </c>
      <c r="Q1473" s="1" t="s">
        <v>5277</v>
      </c>
      <c r="R1473" s="2" t="s">
        <v>1737</v>
      </c>
      <c r="S1473" s="1" t="s">
        <v>6243</v>
      </c>
      <c r="T1473" s="1">
        <v>17684</v>
      </c>
      <c r="U1473" s="1">
        <v>4270</v>
      </c>
      <c r="V1473" s="1">
        <v>4270</v>
      </c>
      <c r="AH1473" s="1">
        <v>13414</v>
      </c>
      <c r="AI1473" s="1">
        <v>13414</v>
      </c>
    </row>
    <row r="1474" spans="1:38" x14ac:dyDescent="0.2">
      <c r="A1474" s="1" t="s">
        <v>184</v>
      </c>
      <c r="B1474" s="1">
        <v>20835238</v>
      </c>
      <c r="C1474" s="1" t="s">
        <v>7420</v>
      </c>
      <c r="E1474" s="21">
        <v>98</v>
      </c>
      <c r="G1474" s="1" t="s">
        <v>6748</v>
      </c>
      <c r="H1474" s="1" t="s">
        <v>1414</v>
      </c>
      <c r="I1474" s="5">
        <v>40433</v>
      </c>
      <c r="J1474" s="18" t="s">
        <v>11</v>
      </c>
      <c r="K1474" s="1" t="s">
        <v>28</v>
      </c>
      <c r="L1474" s="1" t="s">
        <v>1742</v>
      </c>
      <c r="M1474" s="5"/>
      <c r="N1474" s="5" t="s">
        <v>10</v>
      </c>
      <c r="O1474" s="5" t="s">
        <v>10</v>
      </c>
      <c r="P1474" s="1" t="s">
        <v>4423</v>
      </c>
      <c r="Q1474" s="1" t="s">
        <v>5502</v>
      </c>
      <c r="R1474" s="2" t="s">
        <v>4327</v>
      </c>
      <c r="S1474" s="1" t="s">
        <v>6243</v>
      </c>
      <c r="T1474" s="1">
        <v>40389</v>
      </c>
      <c r="U1474" s="1">
        <v>36150</v>
      </c>
      <c r="V1474" s="1">
        <v>36150</v>
      </c>
      <c r="AH1474" s="1">
        <v>4239</v>
      </c>
      <c r="AI1474" s="1">
        <v>4239</v>
      </c>
    </row>
    <row r="1475" spans="1:38" x14ac:dyDescent="0.2">
      <c r="A1475" s="1" t="s">
        <v>1741</v>
      </c>
      <c r="B1475" s="1">
        <v>20835239</v>
      </c>
      <c r="C1475" s="1" t="s">
        <v>7420</v>
      </c>
      <c r="E1475" s="21">
        <v>31</v>
      </c>
      <c r="G1475" s="1" t="s">
        <v>1739</v>
      </c>
      <c r="H1475" s="1" t="s">
        <v>1102</v>
      </c>
      <c r="I1475" s="5">
        <v>40433</v>
      </c>
      <c r="J1475" s="18" t="s">
        <v>11</v>
      </c>
      <c r="K1475" s="1" t="s">
        <v>28</v>
      </c>
      <c r="L1475" s="1" t="s">
        <v>1740</v>
      </c>
      <c r="M1475" s="5"/>
      <c r="N1475" s="5" t="s">
        <v>10</v>
      </c>
      <c r="O1475" s="5" t="s">
        <v>10</v>
      </c>
      <c r="P1475" s="1" t="s">
        <v>5559</v>
      </c>
      <c r="Q1475" s="1" t="s">
        <v>5109</v>
      </c>
      <c r="R1475" s="2" t="s">
        <v>667</v>
      </c>
      <c r="S1475" s="1" t="s">
        <v>6243</v>
      </c>
      <c r="T1475" s="1">
        <v>15608</v>
      </c>
      <c r="U1475" s="1">
        <v>5328</v>
      </c>
      <c r="V1475" s="1">
        <v>5328</v>
      </c>
      <c r="AH1475" s="1">
        <v>10280</v>
      </c>
      <c r="AI1475" s="1">
        <v>10280</v>
      </c>
    </row>
    <row r="1476" spans="1:38" x14ac:dyDescent="0.2">
      <c r="A1476" s="1" t="s">
        <v>1374</v>
      </c>
      <c r="B1476" s="1">
        <v>20838585</v>
      </c>
      <c r="C1476" s="1" t="s">
        <v>7420</v>
      </c>
      <c r="E1476" s="21">
        <v>47</v>
      </c>
      <c r="G1476" s="1" t="s">
        <v>6806</v>
      </c>
      <c r="H1476" s="1" t="s">
        <v>7251</v>
      </c>
      <c r="I1476" s="5">
        <v>40430</v>
      </c>
      <c r="J1476" s="18" t="s">
        <v>11</v>
      </c>
      <c r="K1476" s="1" t="s">
        <v>65</v>
      </c>
      <c r="L1476" s="1" t="s">
        <v>1746</v>
      </c>
      <c r="M1476" s="5"/>
      <c r="N1476" s="5" t="s">
        <v>10</v>
      </c>
      <c r="O1476" s="5" t="s">
        <v>10</v>
      </c>
      <c r="P1476" s="1" t="s">
        <v>5327</v>
      </c>
      <c r="Q1476" s="1" t="s">
        <v>4248</v>
      </c>
      <c r="R1476" s="2" t="s">
        <v>4590</v>
      </c>
      <c r="S1476" s="1" t="s">
        <v>6243</v>
      </c>
      <c r="T1476" s="1">
        <v>2790</v>
      </c>
      <c r="U1476" s="1">
        <v>525</v>
      </c>
      <c r="V1476" s="1">
        <v>525</v>
      </c>
      <c r="AH1476" s="1">
        <v>2265</v>
      </c>
      <c r="AI1476" s="1">
        <v>2265</v>
      </c>
    </row>
    <row r="1477" spans="1:38" x14ac:dyDescent="0.2">
      <c r="A1477" s="1" t="s">
        <v>1724</v>
      </c>
      <c r="B1477" s="1">
        <v>20844546</v>
      </c>
      <c r="C1477" s="1" t="s">
        <v>7420</v>
      </c>
      <c r="E1477" s="21">
        <v>41</v>
      </c>
      <c r="G1477" s="1" t="s">
        <v>1608</v>
      </c>
      <c r="H1477" s="1" t="s">
        <v>7032</v>
      </c>
      <c r="I1477" s="5">
        <v>40437</v>
      </c>
      <c r="J1477" s="18" t="s">
        <v>11</v>
      </c>
      <c r="K1477" s="1" t="s">
        <v>689</v>
      </c>
      <c r="L1477" s="1" t="s">
        <v>1722</v>
      </c>
      <c r="M1477" s="5"/>
      <c r="N1477" s="5" t="s">
        <v>11</v>
      </c>
      <c r="O1477" s="5" t="s">
        <v>11</v>
      </c>
      <c r="P1477" s="1" t="s">
        <v>1723</v>
      </c>
      <c r="Q1477" s="1" t="s">
        <v>33</v>
      </c>
      <c r="R1477" s="2" t="s">
        <v>4263</v>
      </c>
      <c r="S1477" s="1" t="s">
        <v>6242</v>
      </c>
      <c r="T1477" s="1">
        <v>1521</v>
      </c>
      <c r="U1477" s="1">
        <v>1521</v>
      </c>
      <c r="X1477" s="1">
        <v>1521</v>
      </c>
    </row>
    <row r="1478" spans="1:38" x14ac:dyDescent="0.2">
      <c r="A1478" s="1" t="s">
        <v>1791</v>
      </c>
      <c r="B1478" s="1">
        <v>20844574</v>
      </c>
      <c r="C1478" s="1" t="s">
        <v>7420</v>
      </c>
      <c r="E1478" s="21">
        <v>6</v>
      </c>
      <c r="F1478" s="17">
        <v>1</v>
      </c>
      <c r="G1478" s="1" t="s">
        <v>1792</v>
      </c>
      <c r="H1478" s="1" t="s">
        <v>7350</v>
      </c>
      <c r="I1478" s="5">
        <v>40430</v>
      </c>
      <c r="J1478" s="18" t="s">
        <v>10</v>
      </c>
      <c r="K1478" s="1" t="s">
        <v>65</v>
      </c>
      <c r="L1478" s="1" t="s">
        <v>2896</v>
      </c>
      <c r="M1478" s="5"/>
      <c r="N1478" s="5" t="s">
        <v>10</v>
      </c>
      <c r="O1478" s="5" t="s">
        <v>10</v>
      </c>
      <c r="P1478" s="1" t="s">
        <v>3329</v>
      </c>
      <c r="Q1478" s="1" t="s">
        <v>33</v>
      </c>
      <c r="R1478" s="2" t="s">
        <v>5780</v>
      </c>
      <c r="S1478" s="1" t="s">
        <v>6243</v>
      </c>
      <c r="T1478" s="1">
        <v>518</v>
      </c>
      <c r="U1478" s="1">
        <v>518</v>
      </c>
      <c r="V1478" s="1">
        <v>518</v>
      </c>
    </row>
    <row r="1479" spans="1:38" x14ac:dyDescent="0.2">
      <c r="A1479" s="1" t="s">
        <v>1720</v>
      </c>
      <c r="B1479" s="1">
        <v>20848476</v>
      </c>
      <c r="C1479" s="1" t="s">
        <v>7420</v>
      </c>
      <c r="E1479" s="21">
        <v>8</v>
      </c>
      <c r="G1479" s="1" t="s">
        <v>6930</v>
      </c>
      <c r="H1479" s="1" t="s">
        <v>1721</v>
      </c>
      <c r="I1479" s="5">
        <v>40316</v>
      </c>
      <c r="J1479" s="18" t="s">
        <v>10</v>
      </c>
      <c r="K1479" s="1" t="s">
        <v>2897</v>
      </c>
      <c r="L1479" s="1" t="s">
        <v>2898</v>
      </c>
      <c r="M1479" s="5"/>
      <c r="N1479" s="5" t="s">
        <v>10</v>
      </c>
      <c r="O1479" s="5" t="s">
        <v>10</v>
      </c>
      <c r="P1479" s="1" t="s">
        <v>6233</v>
      </c>
      <c r="Q1479" s="1" t="s">
        <v>33</v>
      </c>
      <c r="R1479" s="2" t="s">
        <v>4393</v>
      </c>
      <c r="S1479" s="1" t="s">
        <v>6243</v>
      </c>
      <c r="T1479" s="1">
        <v>3462</v>
      </c>
      <c r="U1479" s="1">
        <v>3462</v>
      </c>
      <c r="V1479" s="1">
        <v>3462</v>
      </c>
    </row>
    <row r="1480" spans="1:38" x14ac:dyDescent="0.2">
      <c r="A1480" s="1" t="s">
        <v>1828</v>
      </c>
      <c r="B1480" s="1">
        <v>20849430</v>
      </c>
      <c r="C1480" s="1" t="s">
        <v>7420</v>
      </c>
      <c r="D1480" s="1" t="s">
        <v>7411</v>
      </c>
      <c r="E1480" s="21">
        <v>1</v>
      </c>
      <c r="G1480" s="1" t="s">
        <v>6835</v>
      </c>
      <c r="H1480" s="1" t="s">
        <v>7219</v>
      </c>
      <c r="I1480" s="5">
        <v>40437</v>
      </c>
      <c r="J1480" s="18" t="s">
        <v>11</v>
      </c>
      <c r="K1480" s="1" t="s">
        <v>906</v>
      </c>
      <c r="L1480" s="1" t="s">
        <v>1827</v>
      </c>
      <c r="M1480" s="5"/>
      <c r="N1480" s="5" t="s">
        <v>10</v>
      </c>
      <c r="O1480" s="5" t="s">
        <v>10</v>
      </c>
      <c r="P1480" s="1" t="s">
        <v>4017</v>
      </c>
      <c r="Q1480" s="1" t="s">
        <v>33</v>
      </c>
      <c r="R1480" s="2" t="s">
        <v>4648</v>
      </c>
      <c r="S1480" s="1" t="s">
        <v>6243</v>
      </c>
      <c r="T1480" s="1">
        <v>1782</v>
      </c>
      <c r="U1480" s="1">
        <v>1782</v>
      </c>
      <c r="V1480" s="1">
        <v>1782</v>
      </c>
    </row>
    <row r="1481" spans="1:38" x14ac:dyDescent="0.2">
      <c r="A1481" s="1" t="s">
        <v>1731</v>
      </c>
      <c r="B1481" s="1">
        <v>20852631</v>
      </c>
      <c r="C1481" s="1" t="s">
        <v>7420</v>
      </c>
      <c r="E1481" s="21">
        <v>220</v>
      </c>
      <c r="G1481" s="1" t="s">
        <v>6736</v>
      </c>
      <c r="H1481" s="1" t="s">
        <v>6675</v>
      </c>
      <c r="I1481" s="5">
        <v>40440</v>
      </c>
      <c r="J1481" s="18" t="s">
        <v>11</v>
      </c>
      <c r="K1481" s="1" t="s">
        <v>28</v>
      </c>
      <c r="L1481" s="1" t="s">
        <v>1730</v>
      </c>
      <c r="M1481" s="5"/>
      <c r="N1481" s="5" t="s">
        <v>11</v>
      </c>
      <c r="O1481" s="5" t="s">
        <v>11</v>
      </c>
      <c r="P1481" s="1" t="s">
        <v>5660</v>
      </c>
      <c r="Q1481" s="1" t="s">
        <v>5661</v>
      </c>
      <c r="R1481" s="2" t="s">
        <v>4515</v>
      </c>
      <c r="S1481" s="1" t="s">
        <v>6243</v>
      </c>
      <c r="T1481" s="1">
        <v>8369</v>
      </c>
      <c r="U1481" s="1">
        <v>2383</v>
      </c>
      <c r="V1481" s="1">
        <v>2383</v>
      </c>
      <c r="AH1481" s="1">
        <v>5986</v>
      </c>
      <c r="AI1481" s="1">
        <v>5986</v>
      </c>
    </row>
    <row r="1482" spans="1:38" x14ac:dyDescent="0.2">
      <c r="A1482" s="1" t="s">
        <v>1735</v>
      </c>
      <c r="B1482" s="1">
        <v>20852632</v>
      </c>
      <c r="C1482" s="1" t="s">
        <v>7420</v>
      </c>
      <c r="E1482" s="21">
        <v>86</v>
      </c>
      <c r="G1482" s="1" t="s">
        <v>947</v>
      </c>
      <c r="H1482" s="1" t="s">
        <v>6686</v>
      </c>
      <c r="I1482" s="5">
        <v>40440</v>
      </c>
      <c r="J1482" s="18" t="s">
        <v>11</v>
      </c>
      <c r="K1482" s="1" t="s">
        <v>28</v>
      </c>
      <c r="L1482" s="1" t="s">
        <v>1734</v>
      </c>
      <c r="M1482" s="5"/>
      <c r="N1482" s="5" t="s">
        <v>11</v>
      </c>
      <c r="O1482" s="5" t="s">
        <v>11</v>
      </c>
      <c r="P1482" s="1" t="s">
        <v>5094</v>
      </c>
      <c r="Q1482" s="1" t="s">
        <v>5095</v>
      </c>
      <c r="R1482" s="2" t="s">
        <v>4647</v>
      </c>
      <c r="S1482" s="1" t="s">
        <v>6243</v>
      </c>
      <c r="T1482" s="1">
        <v>64595</v>
      </c>
      <c r="U1482" s="1">
        <v>4122</v>
      </c>
      <c r="V1482" s="1">
        <v>4122</v>
      </c>
      <c r="AH1482" s="1">
        <v>60473</v>
      </c>
      <c r="AI1482" s="1">
        <v>60473</v>
      </c>
    </row>
    <row r="1483" spans="1:38" x14ac:dyDescent="0.2">
      <c r="A1483" s="1" t="s">
        <v>1733</v>
      </c>
      <c r="B1483" s="1">
        <v>20852633</v>
      </c>
      <c r="C1483" s="1" t="s">
        <v>7420</v>
      </c>
      <c r="E1483" s="21">
        <v>9</v>
      </c>
      <c r="G1483" s="1" t="s">
        <v>947</v>
      </c>
      <c r="H1483" s="1" t="s">
        <v>6686</v>
      </c>
      <c r="I1483" s="5">
        <v>40440</v>
      </c>
      <c r="J1483" s="18" t="s">
        <v>11</v>
      </c>
      <c r="K1483" s="1" t="s">
        <v>28</v>
      </c>
      <c r="L1483" s="1" t="s">
        <v>1732</v>
      </c>
      <c r="M1483" s="5"/>
      <c r="N1483" s="5" t="s">
        <v>11</v>
      </c>
      <c r="O1483" s="5" t="s">
        <v>11</v>
      </c>
      <c r="P1483" s="1" t="s">
        <v>5092</v>
      </c>
      <c r="Q1483" s="1" t="s">
        <v>5093</v>
      </c>
      <c r="R1483" s="2" t="s">
        <v>4975</v>
      </c>
      <c r="S1483" s="1" t="s">
        <v>6243</v>
      </c>
      <c r="T1483" s="1">
        <v>23691</v>
      </c>
      <c r="U1483" s="1">
        <v>4121</v>
      </c>
      <c r="V1483" s="1">
        <v>4121</v>
      </c>
      <c r="AH1483" s="1">
        <v>19570</v>
      </c>
      <c r="AI1483" s="1">
        <v>19570</v>
      </c>
    </row>
    <row r="1484" spans="1:38" x14ac:dyDescent="0.2">
      <c r="A1484" s="1" t="s">
        <v>1119</v>
      </c>
      <c r="B1484" s="1">
        <v>20858683</v>
      </c>
      <c r="C1484" s="1" t="s">
        <v>7420</v>
      </c>
      <c r="E1484" s="21">
        <v>45</v>
      </c>
      <c r="G1484" s="1" t="s">
        <v>6835</v>
      </c>
      <c r="H1484" s="1" t="s">
        <v>7219</v>
      </c>
      <c r="I1484" s="5">
        <v>40442</v>
      </c>
      <c r="J1484" s="18" t="s">
        <v>11</v>
      </c>
      <c r="K1484" s="1" t="s">
        <v>90</v>
      </c>
      <c r="L1484" s="1" t="s">
        <v>1795</v>
      </c>
      <c r="M1484" s="5"/>
      <c r="N1484" s="5" t="s">
        <v>10</v>
      </c>
      <c r="O1484" s="5" t="s">
        <v>10</v>
      </c>
      <c r="P1484" s="1" t="s">
        <v>6069</v>
      </c>
      <c r="Q1484" s="1" t="s">
        <v>33</v>
      </c>
      <c r="R1484" s="2" t="s">
        <v>868</v>
      </c>
      <c r="S1484" s="1" t="s">
        <v>6243</v>
      </c>
      <c r="T1484" s="1">
        <v>46368</v>
      </c>
      <c r="U1484" s="1">
        <v>46368</v>
      </c>
      <c r="V1484" s="1">
        <v>46368</v>
      </c>
    </row>
    <row r="1485" spans="1:38" x14ac:dyDescent="0.2">
      <c r="A1485" s="1" t="s">
        <v>142</v>
      </c>
      <c r="B1485" s="1">
        <v>20860503</v>
      </c>
      <c r="C1485" s="1" t="s">
        <v>7420</v>
      </c>
      <c r="E1485" s="21">
        <v>32945</v>
      </c>
      <c r="G1485" s="1" t="s">
        <v>799</v>
      </c>
      <c r="H1485" s="1" t="s">
        <v>7052</v>
      </c>
      <c r="I1485" s="5">
        <v>40444</v>
      </c>
      <c r="J1485" s="18" t="s">
        <v>11</v>
      </c>
      <c r="K1485" s="1" t="s">
        <v>157</v>
      </c>
      <c r="L1485" s="1" t="s">
        <v>1853</v>
      </c>
      <c r="M1485" s="5"/>
      <c r="N1485" s="5" t="s">
        <v>10</v>
      </c>
      <c r="O1485" s="5" t="s">
        <v>10</v>
      </c>
      <c r="P1485" s="1" t="s">
        <v>3716</v>
      </c>
      <c r="Q1485" s="1" t="s">
        <v>33</v>
      </c>
      <c r="R1485" s="2" t="s">
        <v>4126</v>
      </c>
      <c r="S1485" s="1" t="s">
        <v>6243</v>
      </c>
      <c r="T1485" s="1">
        <v>26475</v>
      </c>
      <c r="U1485" s="1">
        <v>26475</v>
      </c>
      <c r="V1485" s="1">
        <v>26475</v>
      </c>
    </row>
    <row r="1486" spans="1:38" x14ac:dyDescent="0.2">
      <c r="A1486" s="1" t="s">
        <v>1852</v>
      </c>
      <c r="B1486" s="1">
        <v>20861866</v>
      </c>
      <c r="C1486" s="1" t="s">
        <v>7420</v>
      </c>
      <c r="E1486" s="21">
        <v>93</v>
      </c>
      <c r="G1486" s="1" t="s">
        <v>15</v>
      </c>
      <c r="H1486" s="1" t="s">
        <v>7143</v>
      </c>
      <c r="I1486" s="5">
        <v>40444</v>
      </c>
      <c r="J1486" s="18" t="s">
        <v>11</v>
      </c>
      <c r="K1486" s="1" t="s">
        <v>1850</v>
      </c>
      <c r="L1486" s="1" t="s">
        <v>1851</v>
      </c>
      <c r="M1486" s="5"/>
      <c r="N1486" s="5" t="s">
        <v>10</v>
      </c>
      <c r="O1486" s="5" t="s">
        <v>10</v>
      </c>
      <c r="P1486" s="1" t="s">
        <v>6640</v>
      </c>
      <c r="Q1486" s="1" t="s">
        <v>5595</v>
      </c>
      <c r="R1486" s="2" t="s">
        <v>4053</v>
      </c>
      <c r="S1486" s="1" t="s">
        <v>6243</v>
      </c>
      <c r="T1486" s="1">
        <v>4634</v>
      </c>
      <c r="U1486" s="1">
        <v>872</v>
      </c>
      <c r="V1486" s="1">
        <v>872</v>
      </c>
      <c r="AH1486" s="1">
        <v>3762</v>
      </c>
      <c r="AI1486" s="1">
        <v>3762</v>
      </c>
    </row>
    <row r="1487" spans="1:38" x14ac:dyDescent="0.2">
      <c r="A1487" s="1" t="s">
        <v>1797</v>
      </c>
      <c r="B1487" s="1">
        <v>20862305</v>
      </c>
      <c r="C1487" s="1" t="s">
        <v>7420</v>
      </c>
      <c r="E1487" s="21">
        <v>164</v>
      </c>
      <c r="G1487" s="1" t="s">
        <v>61</v>
      </c>
      <c r="H1487" s="1" t="s">
        <v>7398</v>
      </c>
      <c r="I1487" s="5">
        <v>40437</v>
      </c>
      <c r="J1487" s="18" t="s">
        <v>11</v>
      </c>
      <c r="K1487" s="1" t="s">
        <v>65</v>
      </c>
      <c r="L1487" s="1" t="s">
        <v>1796</v>
      </c>
      <c r="M1487" s="5"/>
      <c r="N1487" s="5" t="s">
        <v>11</v>
      </c>
      <c r="O1487" s="5" t="s">
        <v>10</v>
      </c>
      <c r="P1487" s="1" t="s">
        <v>3954</v>
      </c>
      <c r="Q1487" s="1" t="s">
        <v>5049</v>
      </c>
      <c r="R1487" s="2" t="s">
        <v>4964</v>
      </c>
      <c r="S1487" s="1" t="s">
        <v>6244</v>
      </c>
      <c r="T1487" s="1">
        <v>24409</v>
      </c>
      <c r="U1487" s="1">
        <v>2729</v>
      </c>
      <c r="X1487" s="1">
        <v>2729</v>
      </c>
      <c r="AH1487" s="1">
        <v>21680</v>
      </c>
      <c r="AI1487" s="1">
        <v>5643</v>
      </c>
      <c r="AK1487" s="1">
        <v>16037</v>
      </c>
    </row>
    <row r="1488" spans="1:38" x14ac:dyDescent="0.2">
      <c r="A1488" s="1" t="s">
        <v>1857</v>
      </c>
      <c r="B1488" s="1">
        <v>20864672</v>
      </c>
      <c r="C1488" s="1" t="s">
        <v>7420</v>
      </c>
      <c r="E1488" s="21">
        <v>118</v>
      </c>
      <c r="G1488" s="1" t="s">
        <v>242</v>
      </c>
      <c r="H1488" s="1" t="s">
        <v>7160</v>
      </c>
      <c r="I1488" s="5">
        <v>40444</v>
      </c>
      <c r="J1488" s="18" t="s">
        <v>11</v>
      </c>
      <c r="K1488" s="1" t="s">
        <v>529</v>
      </c>
      <c r="L1488" s="1" t="s">
        <v>1856</v>
      </c>
      <c r="M1488" s="5"/>
      <c r="N1488" s="5" t="s">
        <v>10</v>
      </c>
      <c r="O1488" s="5" t="s">
        <v>10</v>
      </c>
      <c r="P1488" s="1" t="s">
        <v>5654</v>
      </c>
      <c r="Q1488" s="1" t="s">
        <v>5655</v>
      </c>
      <c r="R1488" s="2" t="s">
        <v>4613</v>
      </c>
      <c r="S1488" s="1" t="s">
        <v>6244</v>
      </c>
      <c r="T1488" s="1">
        <v>64682</v>
      </c>
      <c r="U1488" s="1">
        <v>17243</v>
      </c>
      <c r="V1488" s="1">
        <v>17243</v>
      </c>
      <c r="AH1488" s="1">
        <v>47439</v>
      </c>
      <c r="AI1488" s="1">
        <v>37774</v>
      </c>
      <c r="AL1488" s="1">
        <v>9665</v>
      </c>
    </row>
    <row r="1489" spans="1:45" x14ac:dyDescent="0.2">
      <c r="A1489" s="1" t="s">
        <v>1801</v>
      </c>
      <c r="B1489" s="1">
        <v>20871597</v>
      </c>
      <c r="C1489" s="1" t="s">
        <v>7420</v>
      </c>
      <c r="E1489" s="21">
        <v>49</v>
      </c>
      <c r="G1489" s="1" t="s">
        <v>6862</v>
      </c>
      <c r="H1489" s="1" t="s">
        <v>1809</v>
      </c>
      <c r="I1489" s="5">
        <v>40447</v>
      </c>
      <c r="J1489" s="18" t="s">
        <v>11</v>
      </c>
      <c r="K1489" s="1" t="s">
        <v>28</v>
      </c>
      <c r="L1489" s="1" t="s">
        <v>1800</v>
      </c>
      <c r="M1489" s="5"/>
      <c r="N1489" s="5" t="s">
        <v>10</v>
      </c>
      <c r="O1489" s="5" t="s">
        <v>10</v>
      </c>
      <c r="P1489" s="1" t="s">
        <v>3948</v>
      </c>
      <c r="Q1489" s="1" t="s">
        <v>4717</v>
      </c>
      <c r="R1489" s="2" t="s">
        <v>4164</v>
      </c>
      <c r="S1489" s="1" t="s">
        <v>6242</v>
      </c>
      <c r="T1489" s="1">
        <v>13146</v>
      </c>
      <c r="U1489" s="1">
        <v>2904</v>
      </c>
      <c r="X1489" s="1">
        <v>2904</v>
      </c>
      <c r="AH1489" s="1">
        <v>10242</v>
      </c>
      <c r="AK1489" s="1">
        <v>10242</v>
      </c>
    </row>
    <row r="1490" spans="1:45" x14ac:dyDescent="0.2">
      <c r="A1490" s="1" t="s">
        <v>1861</v>
      </c>
      <c r="B1490" s="1">
        <v>20871662</v>
      </c>
      <c r="C1490" s="1" t="s">
        <v>7420</v>
      </c>
      <c r="E1490" s="21">
        <v>4817</v>
      </c>
      <c r="G1490" s="1" t="s">
        <v>2564</v>
      </c>
      <c r="H1490" s="1" t="s">
        <v>7379</v>
      </c>
      <c r="I1490" s="5">
        <v>40423</v>
      </c>
      <c r="J1490" s="18" t="s">
        <v>11</v>
      </c>
      <c r="K1490" s="1" t="s">
        <v>1858</v>
      </c>
      <c r="L1490" s="1" t="s">
        <v>1859</v>
      </c>
      <c r="M1490" s="5"/>
      <c r="N1490" s="5" t="s">
        <v>10</v>
      </c>
      <c r="O1490" s="5" t="s">
        <v>10</v>
      </c>
      <c r="P1490" s="1" t="s">
        <v>1860</v>
      </c>
      <c r="Q1490" s="1" t="s">
        <v>33</v>
      </c>
      <c r="R1490" s="2" t="s">
        <v>5955</v>
      </c>
      <c r="S1490" s="1" t="s">
        <v>6270</v>
      </c>
      <c r="T1490" s="1">
        <v>286</v>
      </c>
      <c r="U1490" s="1">
        <v>286</v>
      </c>
      <c r="Z1490" s="1">
        <v>286</v>
      </c>
    </row>
    <row r="1491" spans="1:45" x14ac:dyDescent="0.2">
      <c r="A1491" s="1" t="s">
        <v>289</v>
      </c>
      <c r="B1491" s="1">
        <v>20872241</v>
      </c>
      <c r="C1491" s="1" t="s">
        <v>7420</v>
      </c>
      <c r="E1491" s="21">
        <v>160</v>
      </c>
      <c r="G1491" s="1" t="s">
        <v>1849</v>
      </c>
      <c r="H1491" s="1" t="s">
        <v>6675</v>
      </c>
      <c r="I1491" s="5">
        <v>40447</v>
      </c>
      <c r="J1491" s="18" t="s">
        <v>11</v>
      </c>
      <c r="K1491" s="1" t="s">
        <v>425</v>
      </c>
      <c r="L1491" s="1" t="s">
        <v>1848</v>
      </c>
      <c r="M1491" s="5"/>
      <c r="N1491" s="5" t="s">
        <v>11</v>
      </c>
      <c r="O1491" s="5" t="s">
        <v>11</v>
      </c>
      <c r="P1491" s="1" t="s">
        <v>5185</v>
      </c>
      <c r="Q1491" s="1" t="s">
        <v>5186</v>
      </c>
      <c r="R1491" s="2" t="s">
        <v>4571</v>
      </c>
      <c r="S1491" s="1" t="s">
        <v>6243</v>
      </c>
      <c r="T1491" s="1">
        <v>23390</v>
      </c>
      <c r="U1491" s="1">
        <v>8428</v>
      </c>
      <c r="V1491" s="1">
        <v>8428</v>
      </c>
      <c r="AH1491" s="1">
        <v>14962</v>
      </c>
      <c r="AI1491" s="1">
        <v>14962</v>
      </c>
    </row>
    <row r="1492" spans="1:45" x14ac:dyDescent="0.2">
      <c r="A1492" s="1" t="s">
        <v>1812</v>
      </c>
      <c r="B1492" s="1">
        <v>20876420</v>
      </c>
      <c r="C1492" s="1" t="s">
        <v>7420</v>
      </c>
      <c r="E1492" s="21">
        <v>15</v>
      </c>
      <c r="G1492" s="1" t="s">
        <v>7038</v>
      </c>
      <c r="H1492" s="1" t="s">
        <v>7130</v>
      </c>
      <c r="I1492" s="5">
        <v>40448</v>
      </c>
      <c r="J1492" s="18" t="s">
        <v>11</v>
      </c>
      <c r="K1492" s="1" t="s">
        <v>1810</v>
      </c>
      <c r="L1492" s="1" t="s">
        <v>1811</v>
      </c>
      <c r="M1492" s="5"/>
      <c r="N1492" s="5" t="s">
        <v>11</v>
      </c>
      <c r="O1492" s="5" t="s">
        <v>11</v>
      </c>
      <c r="P1492" s="1" t="s">
        <v>3812</v>
      </c>
      <c r="Q1492" s="1" t="s">
        <v>33</v>
      </c>
      <c r="R1492" s="2" t="s">
        <v>3915</v>
      </c>
      <c r="S1492" s="1" t="s">
        <v>6243</v>
      </c>
      <c r="T1492" s="1">
        <v>878</v>
      </c>
      <c r="U1492" s="1">
        <v>878</v>
      </c>
      <c r="V1492" s="1">
        <v>878</v>
      </c>
    </row>
    <row r="1493" spans="1:45" x14ac:dyDescent="0.2">
      <c r="A1493" s="1" t="s">
        <v>1515</v>
      </c>
      <c r="B1493" s="1">
        <v>20876611</v>
      </c>
      <c r="C1493" s="1" t="s">
        <v>7420</v>
      </c>
      <c r="E1493" s="21">
        <v>16</v>
      </c>
      <c r="G1493" s="1" t="s">
        <v>1826</v>
      </c>
      <c r="H1493" s="1" t="s">
        <v>7201</v>
      </c>
      <c r="I1493" s="5">
        <v>40448</v>
      </c>
      <c r="J1493" s="18" t="s">
        <v>11</v>
      </c>
      <c r="K1493" s="1" t="s">
        <v>103</v>
      </c>
      <c r="L1493" s="1" t="s">
        <v>1825</v>
      </c>
      <c r="M1493" s="5"/>
      <c r="N1493" s="5" t="s">
        <v>11</v>
      </c>
      <c r="O1493" s="5" t="s">
        <v>10</v>
      </c>
      <c r="P1493" s="1" t="s">
        <v>4015</v>
      </c>
      <c r="Q1493" s="1" t="s">
        <v>4016</v>
      </c>
      <c r="R1493" s="2" t="s">
        <v>4337</v>
      </c>
      <c r="S1493" s="1" t="s">
        <v>6436</v>
      </c>
      <c r="T1493" s="1">
        <v>3550</v>
      </c>
      <c r="U1493" s="1">
        <v>1776</v>
      </c>
      <c r="AF1493" s="1">
        <v>1776</v>
      </c>
      <c r="AH1493" s="1">
        <v>1774</v>
      </c>
      <c r="AS1493" s="1">
        <v>1774</v>
      </c>
    </row>
    <row r="1494" spans="1:45" x14ac:dyDescent="0.2">
      <c r="A1494" s="1" t="s">
        <v>1808</v>
      </c>
      <c r="B1494" s="1">
        <v>20876614</v>
      </c>
      <c r="C1494" s="1" t="s">
        <v>7420</v>
      </c>
      <c r="E1494" s="21">
        <v>192</v>
      </c>
      <c r="G1494" s="1" t="s">
        <v>6881</v>
      </c>
      <c r="H1494" s="1" t="s">
        <v>1809</v>
      </c>
      <c r="I1494" s="5">
        <v>40449</v>
      </c>
      <c r="J1494" s="18" t="s">
        <v>11</v>
      </c>
      <c r="K1494" s="1" t="s">
        <v>103</v>
      </c>
      <c r="L1494" s="1" t="s">
        <v>1807</v>
      </c>
      <c r="M1494" s="5"/>
      <c r="N1494" s="5" t="s">
        <v>10</v>
      </c>
      <c r="O1494" s="5" t="s">
        <v>10</v>
      </c>
      <c r="P1494" s="1" t="s">
        <v>4095</v>
      </c>
      <c r="Q1494" s="1" t="s">
        <v>4096</v>
      </c>
      <c r="R1494" s="2" t="s">
        <v>4686</v>
      </c>
      <c r="S1494" s="1" t="s">
        <v>6242</v>
      </c>
      <c r="T1494" s="1">
        <v>4436</v>
      </c>
      <c r="U1494" s="1">
        <v>2162</v>
      </c>
      <c r="X1494" s="1">
        <v>2162</v>
      </c>
      <c r="AH1494" s="1">
        <v>2274</v>
      </c>
      <c r="AK1494" s="1">
        <v>2274</v>
      </c>
    </row>
    <row r="1495" spans="1:45" x14ac:dyDescent="0.2">
      <c r="A1495" s="1" t="s">
        <v>1806</v>
      </c>
      <c r="B1495" s="1">
        <v>20877124</v>
      </c>
      <c r="C1495" s="1" t="s">
        <v>7420</v>
      </c>
      <c r="E1495" s="21">
        <v>11928</v>
      </c>
      <c r="G1495" s="1" t="s">
        <v>6923</v>
      </c>
      <c r="H1495" s="1" t="s">
        <v>7227</v>
      </c>
      <c r="I1495" s="5">
        <v>40439</v>
      </c>
      <c r="J1495" s="18" t="s">
        <v>11</v>
      </c>
      <c r="K1495" s="1" t="s">
        <v>830</v>
      </c>
      <c r="L1495" s="1" t="s">
        <v>1804</v>
      </c>
      <c r="M1495" s="5"/>
      <c r="N1495" s="5" t="s">
        <v>10</v>
      </c>
      <c r="O1495" s="5" t="s">
        <v>10</v>
      </c>
      <c r="P1495" s="1" t="s">
        <v>1805</v>
      </c>
      <c r="Q1495" s="1" t="s">
        <v>4692</v>
      </c>
      <c r="R1495" s="2" t="s">
        <v>4858</v>
      </c>
      <c r="S1495" s="1" t="s">
        <v>6242</v>
      </c>
      <c r="T1495" s="1">
        <v>7059</v>
      </c>
      <c r="U1495" s="1">
        <v>936</v>
      </c>
      <c r="X1495" s="1">
        <v>936</v>
      </c>
      <c r="AH1495" s="1">
        <v>6123</v>
      </c>
      <c r="AK1495" s="1">
        <v>6123</v>
      </c>
    </row>
    <row r="1496" spans="1:45" x14ac:dyDescent="0.2">
      <c r="A1496" s="1" t="s">
        <v>1847</v>
      </c>
      <c r="B1496" s="1">
        <v>20877300</v>
      </c>
      <c r="C1496" s="1" t="s">
        <v>7420</v>
      </c>
      <c r="E1496" s="21">
        <v>61</v>
      </c>
      <c r="G1496" s="1" t="s">
        <v>6961</v>
      </c>
      <c r="H1496" s="1" t="s">
        <v>1050</v>
      </c>
      <c r="I1496" s="5">
        <v>40449</v>
      </c>
      <c r="J1496" s="18" t="s">
        <v>11</v>
      </c>
      <c r="K1496" s="1" t="s">
        <v>113</v>
      </c>
      <c r="L1496" s="1" t="s">
        <v>1846</v>
      </c>
      <c r="M1496" s="5"/>
      <c r="N1496" s="5" t="s">
        <v>10</v>
      </c>
      <c r="O1496" s="5" t="s">
        <v>10</v>
      </c>
      <c r="P1496" s="1" t="s">
        <v>3511</v>
      </c>
      <c r="Q1496" s="1" t="s">
        <v>33</v>
      </c>
      <c r="R1496" s="2" t="s">
        <v>4932</v>
      </c>
      <c r="S1496" s="1" t="s">
        <v>6243</v>
      </c>
      <c r="T1496" s="1">
        <v>706</v>
      </c>
      <c r="U1496" s="1">
        <v>706</v>
      </c>
      <c r="V1496" s="1">
        <v>706</v>
      </c>
    </row>
    <row r="1497" spans="1:45" x14ac:dyDescent="0.2">
      <c r="A1497" s="1" t="s">
        <v>1803</v>
      </c>
      <c r="B1497" s="1">
        <v>20881960</v>
      </c>
      <c r="C1497" s="1" t="s">
        <v>7420</v>
      </c>
      <c r="E1497" s="21">
        <v>186104</v>
      </c>
      <c r="G1497" s="1" t="s">
        <v>197</v>
      </c>
      <c r="H1497" s="1" t="s">
        <v>7270</v>
      </c>
      <c r="I1497" s="5">
        <v>40450</v>
      </c>
      <c r="J1497" s="18" t="s">
        <v>11</v>
      </c>
      <c r="K1497" s="1" t="s">
        <v>58</v>
      </c>
      <c r="L1497" s="1" t="s">
        <v>1802</v>
      </c>
      <c r="M1497" s="5"/>
      <c r="N1497" s="5" t="s">
        <v>10</v>
      </c>
      <c r="O1497" s="5" t="s">
        <v>10</v>
      </c>
      <c r="P1497" s="1" t="s">
        <v>6116</v>
      </c>
      <c r="Q1497" s="1" t="s">
        <v>6117</v>
      </c>
      <c r="R1497" s="2" t="s">
        <v>4434</v>
      </c>
      <c r="S1497" s="1" t="s">
        <v>6243</v>
      </c>
      <c r="T1497" s="1">
        <v>183727</v>
      </c>
      <c r="U1497" s="1">
        <v>133653</v>
      </c>
      <c r="V1497" s="1">
        <v>133653</v>
      </c>
      <c r="AH1497" s="1">
        <v>50074</v>
      </c>
      <c r="AI1497" s="1">
        <v>50074</v>
      </c>
    </row>
    <row r="1498" spans="1:45" x14ac:dyDescent="0.2">
      <c r="A1498" s="1" t="s">
        <v>227</v>
      </c>
      <c r="B1498" s="1">
        <v>20884846</v>
      </c>
      <c r="C1498" s="1" t="s">
        <v>7420</v>
      </c>
      <c r="E1498" s="21">
        <v>1066</v>
      </c>
      <c r="G1498" s="1" t="s">
        <v>6732</v>
      </c>
      <c r="H1498" s="1" t="s">
        <v>7329</v>
      </c>
      <c r="I1498" s="5">
        <v>40451</v>
      </c>
      <c r="J1498" s="18" t="s">
        <v>11</v>
      </c>
      <c r="K1498" s="1" t="s">
        <v>551</v>
      </c>
      <c r="L1498" s="1" t="s">
        <v>1816</v>
      </c>
      <c r="M1498" s="5"/>
      <c r="N1498" s="5" t="s">
        <v>11</v>
      </c>
      <c r="O1498" s="5" t="s">
        <v>10</v>
      </c>
      <c r="P1498" s="1" t="s">
        <v>5633</v>
      </c>
      <c r="Q1498" s="1" t="s">
        <v>6343</v>
      </c>
      <c r="R1498" s="2" t="s">
        <v>868</v>
      </c>
      <c r="S1498" s="1" t="s">
        <v>6243</v>
      </c>
      <c r="T1498" s="1">
        <v>50337</v>
      </c>
      <c r="U1498" s="1">
        <v>28283</v>
      </c>
      <c r="V1498" s="1">
        <v>28283</v>
      </c>
      <c r="AH1498" s="1">
        <v>22054</v>
      </c>
      <c r="AI1498" s="1">
        <v>22054</v>
      </c>
    </row>
    <row r="1499" spans="1:45" x14ac:dyDescent="0.2">
      <c r="A1499" s="1" t="s">
        <v>1855</v>
      </c>
      <c r="B1499" s="1">
        <v>20885792</v>
      </c>
      <c r="C1499" s="1" t="s">
        <v>7420</v>
      </c>
      <c r="E1499" s="21">
        <v>181</v>
      </c>
      <c r="G1499" s="1" t="s">
        <v>128</v>
      </c>
      <c r="H1499" s="1" t="s">
        <v>7126</v>
      </c>
      <c r="I1499" s="5">
        <v>40444</v>
      </c>
      <c r="J1499" s="18" t="s">
        <v>11</v>
      </c>
      <c r="K1499" s="1" t="s">
        <v>65</v>
      </c>
      <c r="L1499" s="1" t="s">
        <v>1854</v>
      </c>
      <c r="M1499" s="5"/>
      <c r="N1499" s="5" t="s">
        <v>10</v>
      </c>
      <c r="O1499" s="5" t="s">
        <v>10</v>
      </c>
      <c r="P1499" s="1" t="s">
        <v>3474</v>
      </c>
      <c r="Q1499" s="1" t="s">
        <v>4160</v>
      </c>
      <c r="R1499" s="2" t="s">
        <v>4318</v>
      </c>
      <c r="S1499" s="1" t="s">
        <v>6248</v>
      </c>
      <c r="T1499" s="1">
        <v>5376</v>
      </c>
      <c r="U1499" s="1">
        <v>2035</v>
      </c>
      <c r="AE1499" s="1">
        <v>2035</v>
      </c>
      <c r="AH1499" s="1">
        <v>3341</v>
      </c>
      <c r="AR1499" s="1">
        <v>3341</v>
      </c>
    </row>
    <row r="1500" spans="1:45" x14ac:dyDescent="0.2">
      <c r="A1500" s="1" t="s">
        <v>1815</v>
      </c>
      <c r="B1500" s="1">
        <v>20887962</v>
      </c>
      <c r="C1500" s="1" t="s">
        <v>7420</v>
      </c>
      <c r="E1500" s="21">
        <v>88</v>
      </c>
      <c r="G1500" s="1" t="s">
        <v>6766</v>
      </c>
      <c r="H1500" s="1" t="s">
        <v>7200</v>
      </c>
      <c r="I1500" s="5">
        <v>40459</v>
      </c>
      <c r="J1500" s="18" t="s">
        <v>11</v>
      </c>
      <c r="K1500" s="1" t="s">
        <v>16</v>
      </c>
      <c r="L1500" s="1" t="s">
        <v>1814</v>
      </c>
      <c r="M1500" s="5"/>
      <c r="N1500" s="5" t="s">
        <v>10</v>
      </c>
      <c r="O1500" s="5" t="s">
        <v>10</v>
      </c>
      <c r="P1500" s="1" t="s">
        <v>4460</v>
      </c>
      <c r="Q1500" s="1" t="s">
        <v>4234</v>
      </c>
      <c r="R1500" s="2" t="s">
        <v>4461</v>
      </c>
      <c r="S1500" s="1" t="s">
        <v>6242</v>
      </c>
      <c r="T1500" s="1">
        <v>6305</v>
      </c>
      <c r="U1500" s="1">
        <v>4001</v>
      </c>
      <c r="X1500" s="1">
        <v>4001</v>
      </c>
      <c r="AH1500" s="1">
        <v>2304</v>
      </c>
      <c r="AK1500" s="1">
        <v>2304</v>
      </c>
    </row>
    <row r="1501" spans="1:45" x14ac:dyDescent="0.2">
      <c r="A1501" s="1" t="s">
        <v>1543</v>
      </c>
      <c r="B1501" s="1">
        <v>20889312</v>
      </c>
      <c r="C1501" s="1" t="s">
        <v>7420</v>
      </c>
      <c r="E1501" s="21">
        <v>2651</v>
      </c>
      <c r="G1501" s="1" t="s">
        <v>1926</v>
      </c>
      <c r="H1501" s="1" t="s">
        <v>7146</v>
      </c>
      <c r="I1501" s="5">
        <v>40513</v>
      </c>
      <c r="J1501" s="18" t="s">
        <v>11</v>
      </c>
      <c r="K1501" s="1" t="s">
        <v>1924</v>
      </c>
      <c r="L1501" s="1" t="s">
        <v>1925</v>
      </c>
      <c r="M1501" s="5"/>
      <c r="N1501" s="5" t="s">
        <v>10</v>
      </c>
      <c r="O1501" s="5" t="s">
        <v>10</v>
      </c>
      <c r="P1501" s="1" t="s">
        <v>4260</v>
      </c>
      <c r="Q1501" s="1" t="s">
        <v>33</v>
      </c>
      <c r="R1501" s="2" t="s">
        <v>4171</v>
      </c>
      <c r="S1501" s="1" t="s">
        <v>6243</v>
      </c>
      <c r="T1501" s="1">
        <v>4234</v>
      </c>
      <c r="U1501" s="1">
        <v>4234</v>
      </c>
      <c r="V1501" s="1">
        <v>4234</v>
      </c>
    </row>
    <row r="1502" spans="1:45" x14ac:dyDescent="0.2">
      <c r="A1502" s="1" t="s">
        <v>1875</v>
      </c>
      <c r="B1502" s="1">
        <v>20920776</v>
      </c>
      <c r="C1502" s="1" t="s">
        <v>7420</v>
      </c>
      <c r="E1502" s="21">
        <v>19</v>
      </c>
      <c r="G1502" s="1" t="s">
        <v>799</v>
      </c>
      <c r="H1502" s="1" t="s">
        <v>7052</v>
      </c>
      <c r="I1502" s="5">
        <v>40452</v>
      </c>
      <c r="J1502" s="18" t="s">
        <v>11</v>
      </c>
      <c r="K1502" s="1" t="s">
        <v>1169</v>
      </c>
      <c r="L1502" s="1" t="s">
        <v>1874</v>
      </c>
      <c r="M1502" s="5"/>
      <c r="N1502" s="5" t="s">
        <v>10</v>
      </c>
      <c r="O1502" s="5" t="s">
        <v>10</v>
      </c>
      <c r="P1502" s="1" t="s">
        <v>3556</v>
      </c>
      <c r="Q1502" s="1" t="s">
        <v>3557</v>
      </c>
      <c r="R1502" s="2" t="s">
        <v>4633</v>
      </c>
      <c r="S1502" s="1" t="s">
        <v>6244</v>
      </c>
      <c r="T1502" s="1">
        <v>715</v>
      </c>
      <c r="U1502" s="1">
        <v>108</v>
      </c>
      <c r="V1502" s="1">
        <v>47</v>
      </c>
      <c r="W1502" s="1">
        <v>15</v>
      </c>
      <c r="Z1502" s="1">
        <v>32</v>
      </c>
      <c r="AD1502" s="1">
        <v>14</v>
      </c>
      <c r="AH1502" s="1">
        <v>607</v>
      </c>
      <c r="AI1502" s="1">
        <v>432</v>
      </c>
      <c r="AJ1502" s="1">
        <v>44</v>
      </c>
      <c r="AM1502" s="1">
        <v>66</v>
      </c>
      <c r="AQ1502" s="1">
        <v>65</v>
      </c>
    </row>
    <row r="1503" spans="1:45" x14ac:dyDescent="0.2">
      <c r="A1503" s="1" t="s">
        <v>1144</v>
      </c>
      <c r="B1503" s="1">
        <v>20921969</v>
      </c>
      <c r="C1503" s="1" t="s">
        <v>7420</v>
      </c>
      <c r="E1503" s="21">
        <v>4</v>
      </c>
      <c r="G1503" s="1" t="s">
        <v>7074</v>
      </c>
      <c r="H1503" s="1" t="s">
        <v>7254</v>
      </c>
      <c r="I1503" s="5">
        <v>40456</v>
      </c>
      <c r="J1503" s="18" t="s">
        <v>11</v>
      </c>
      <c r="K1503" s="1" t="s">
        <v>113</v>
      </c>
      <c r="L1503" s="1" t="s">
        <v>1820</v>
      </c>
      <c r="M1503" s="5"/>
      <c r="N1503" s="5" t="s">
        <v>10</v>
      </c>
      <c r="O1503" s="5" t="s">
        <v>10</v>
      </c>
      <c r="P1503" s="1" t="s">
        <v>6398</v>
      </c>
      <c r="Q1503" s="1" t="s">
        <v>33</v>
      </c>
      <c r="R1503" s="2" t="s">
        <v>4157</v>
      </c>
      <c r="S1503" s="1" t="s">
        <v>6244</v>
      </c>
      <c r="T1503" s="1">
        <v>738</v>
      </c>
      <c r="U1503" s="1">
        <v>738</v>
      </c>
      <c r="V1503" s="1">
        <v>417</v>
      </c>
      <c r="W1503" s="1">
        <v>217</v>
      </c>
      <c r="AE1503" s="1">
        <v>104</v>
      </c>
    </row>
    <row r="1504" spans="1:45" x14ac:dyDescent="0.2">
      <c r="A1504" s="1" t="s">
        <v>1819</v>
      </c>
      <c r="B1504" s="1">
        <v>20923822</v>
      </c>
      <c r="C1504" s="1" t="s">
        <v>7420</v>
      </c>
      <c r="E1504" s="21">
        <v>1415</v>
      </c>
      <c r="F1504" s="17">
        <v>1</v>
      </c>
      <c r="G1504" s="1" t="s">
        <v>6926</v>
      </c>
      <c r="H1504" s="1" t="s">
        <v>7371</v>
      </c>
      <c r="I1504" s="5">
        <v>40456</v>
      </c>
      <c r="J1504" s="18" t="s">
        <v>11</v>
      </c>
      <c r="K1504" s="1" t="s">
        <v>1817</v>
      </c>
      <c r="L1504" s="1" t="s">
        <v>1818</v>
      </c>
      <c r="M1504" s="5"/>
      <c r="N1504" s="5" t="s">
        <v>10</v>
      </c>
      <c r="O1504" s="5" t="s">
        <v>10</v>
      </c>
      <c r="P1504" s="1" t="s">
        <v>6122</v>
      </c>
      <c r="Q1504" s="1" t="s">
        <v>33</v>
      </c>
      <c r="R1504" s="2" t="s">
        <v>4861</v>
      </c>
      <c r="S1504" s="1" t="s">
        <v>6244</v>
      </c>
      <c r="T1504" s="1">
        <v>277</v>
      </c>
      <c r="U1504" s="1">
        <v>277</v>
      </c>
      <c r="V1504" s="1">
        <v>89</v>
      </c>
      <c r="W1504" s="1">
        <v>93</v>
      </c>
      <c r="X1504" s="1">
        <v>95</v>
      </c>
    </row>
    <row r="1505" spans="1:44" x14ac:dyDescent="0.2">
      <c r="A1505" s="1" t="s">
        <v>1824</v>
      </c>
      <c r="B1505" s="1">
        <v>20927387</v>
      </c>
      <c r="C1505" s="1" t="s">
        <v>7420</v>
      </c>
      <c r="E1505" s="21">
        <v>26</v>
      </c>
      <c r="G1505" s="1" t="s">
        <v>6774</v>
      </c>
      <c r="H1505" s="1" t="s">
        <v>7219</v>
      </c>
      <c r="I1505" s="5">
        <v>40449</v>
      </c>
      <c r="J1505" s="18" t="s">
        <v>11</v>
      </c>
      <c r="K1505" s="1" t="s">
        <v>181</v>
      </c>
      <c r="L1505" s="1" t="s">
        <v>1823</v>
      </c>
      <c r="M1505" s="5"/>
      <c r="N1505" s="5" t="s">
        <v>10</v>
      </c>
      <c r="O1505" s="5" t="s">
        <v>10</v>
      </c>
      <c r="P1505" s="1" t="s">
        <v>5226</v>
      </c>
      <c r="Q1505" s="1" t="s">
        <v>33</v>
      </c>
      <c r="R1505" s="2" t="s">
        <v>4912</v>
      </c>
      <c r="S1505" s="1" t="s">
        <v>6243</v>
      </c>
      <c r="T1505" s="1">
        <v>3012</v>
      </c>
      <c r="U1505" s="1">
        <v>3012</v>
      </c>
      <c r="V1505" s="1">
        <v>3012</v>
      </c>
    </row>
    <row r="1506" spans="1:44" x14ac:dyDescent="0.2">
      <c r="A1506" s="1" t="s">
        <v>1127</v>
      </c>
      <c r="B1506" s="1">
        <v>20932310</v>
      </c>
      <c r="C1506" s="1" t="s">
        <v>7420</v>
      </c>
      <c r="E1506" s="21">
        <v>101</v>
      </c>
      <c r="G1506" s="1" t="s">
        <v>6965</v>
      </c>
      <c r="H1506" s="1" t="s">
        <v>7210</v>
      </c>
      <c r="I1506" s="5">
        <v>40459</v>
      </c>
      <c r="J1506" s="18" t="s">
        <v>11</v>
      </c>
      <c r="K1506" s="1" t="s">
        <v>1821</v>
      </c>
      <c r="L1506" s="1" t="s">
        <v>1822</v>
      </c>
      <c r="M1506" s="5"/>
      <c r="N1506" s="5" t="s">
        <v>10</v>
      </c>
      <c r="O1506" s="5" t="s">
        <v>10</v>
      </c>
      <c r="P1506" s="1" t="s">
        <v>6421</v>
      </c>
      <c r="Q1506" s="1" t="s">
        <v>33</v>
      </c>
      <c r="R1506" s="2" t="s">
        <v>4792</v>
      </c>
      <c r="S1506" s="1" t="s">
        <v>6244</v>
      </c>
      <c r="T1506" s="1">
        <v>818</v>
      </c>
      <c r="U1506" s="1">
        <v>818</v>
      </c>
      <c r="V1506" s="1">
        <v>761</v>
      </c>
      <c r="W1506" s="1">
        <v>39</v>
      </c>
      <c r="X1506" s="1">
        <v>14</v>
      </c>
      <c r="AA1506" s="1">
        <v>1</v>
      </c>
      <c r="AE1506" s="1">
        <v>3</v>
      </c>
    </row>
    <row r="1507" spans="1:44" x14ac:dyDescent="0.2">
      <c r="A1507" s="1" t="s">
        <v>1889</v>
      </c>
      <c r="B1507" s="1">
        <v>20932654</v>
      </c>
      <c r="C1507" s="1" t="s">
        <v>7420</v>
      </c>
      <c r="E1507" s="21">
        <v>34</v>
      </c>
      <c r="G1507" s="1" t="s">
        <v>1890</v>
      </c>
      <c r="H1507" s="1" t="s">
        <v>6691</v>
      </c>
      <c r="I1507" s="5">
        <v>40456</v>
      </c>
      <c r="J1507" s="18" t="s">
        <v>11</v>
      </c>
      <c r="K1507" s="1" t="s">
        <v>1886</v>
      </c>
      <c r="L1507" s="1" t="s">
        <v>1887</v>
      </c>
      <c r="M1507" s="5"/>
      <c r="N1507" s="5" t="s">
        <v>11</v>
      </c>
      <c r="O1507" s="5" t="s">
        <v>11</v>
      </c>
      <c r="P1507" s="1" t="s">
        <v>1888</v>
      </c>
      <c r="Q1507" s="1" t="s">
        <v>33</v>
      </c>
      <c r="R1507" s="2" t="s">
        <v>4221</v>
      </c>
      <c r="S1507" s="1" t="s">
        <v>6440</v>
      </c>
      <c r="T1507" s="1">
        <v>79</v>
      </c>
      <c r="U1507" s="1">
        <v>79</v>
      </c>
      <c r="W1507" s="1">
        <v>79</v>
      </c>
    </row>
    <row r="1508" spans="1:44" x14ac:dyDescent="0.2">
      <c r="A1508" s="1" t="s">
        <v>555</v>
      </c>
      <c r="B1508" s="1">
        <v>20935629</v>
      </c>
      <c r="C1508" s="1" t="s">
        <v>7420</v>
      </c>
      <c r="E1508" s="21">
        <v>134670</v>
      </c>
      <c r="G1508" s="1" t="s">
        <v>6975</v>
      </c>
      <c r="H1508" s="1" t="s">
        <v>7330</v>
      </c>
      <c r="I1508" s="5">
        <v>40461</v>
      </c>
      <c r="J1508" s="18" t="s">
        <v>11</v>
      </c>
      <c r="K1508" s="1" t="s">
        <v>28</v>
      </c>
      <c r="L1508" s="1" t="s">
        <v>1835</v>
      </c>
      <c r="M1508" s="5"/>
      <c r="N1508" s="5" t="s">
        <v>10</v>
      </c>
      <c r="O1508" s="5" t="s">
        <v>10</v>
      </c>
      <c r="P1508" s="1" t="s">
        <v>5587</v>
      </c>
      <c r="Q1508" s="1" t="s">
        <v>5588</v>
      </c>
      <c r="R1508" s="2" t="s">
        <v>5956</v>
      </c>
      <c r="S1508" s="1" t="s">
        <v>6243</v>
      </c>
      <c r="T1508" s="1">
        <v>190803</v>
      </c>
      <c r="U1508" s="1">
        <v>77167</v>
      </c>
      <c r="V1508" s="1">
        <v>77167</v>
      </c>
      <c r="AH1508" s="1">
        <v>113636</v>
      </c>
      <c r="AI1508" s="1">
        <v>113636</v>
      </c>
    </row>
    <row r="1509" spans="1:44" x14ac:dyDescent="0.2">
      <c r="A1509" s="1" t="s">
        <v>1834</v>
      </c>
      <c r="B1509" s="1">
        <v>20935630</v>
      </c>
      <c r="C1509" s="1" t="s">
        <v>7420</v>
      </c>
      <c r="E1509" s="21">
        <v>150921</v>
      </c>
      <c r="G1509" s="1" t="s">
        <v>370</v>
      </c>
      <c r="H1509" s="1" t="s">
        <v>7229</v>
      </c>
      <c r="I1509" s="5">
        <v>40461</v>
      </c>
      <c r="J1509" s="18" t="s">
        <v>11</v>
      </c>
      <c r="K1509" s="1" t="s">
        <v>28</v>
      </c>
      <c r="L1509" s="1" t="s">
        <v>1832</v>
      </c>
      <c r="M1509" s="5"/>
      <c r="N1509" s="5" t="s">
        <v>10</v>
      </c>
      <c r="O1509" s="5" t="s">
        <v>10</v>
      </c>
      <c r="P1509" s="1" t="s">
        <v>5434</v>
      </c>
      <c r="Q1509" s="1" t="s">
        <v>5435</v>
      </c>
      <c r="R1509" s="2" t="s">
        <v>1833</v>
      </c>
      <c r="S1509" s="1" t="s">
        <v>6243</v>
      </c>
      <c r="T1509" s="1">
        <v>249796</v>
      </c>
      <c r="U1509" s="1">
        <v>123865</v>
      </c>
      <c r="V1509" s="1">
        <v>123865</v>
      </c>
      <c r="AH1509" s="1">
        <v>125931</v>
      </c>
      <c r="AI1509" s="1">
        <v>125931</v>
      </c>
    </row>
    <row r="1510" spans="1:44" x14ac:dyDescent="0.2">
      <c r="A1510" s="1" t="s">
        <v>1917</v>
      </c>
      <c r="B1510" s="1">
        <v>20939080</v>
      </c>
      <c r="C1510" s="1" t="s">
        <v>7420</v>
      </c>
      <c r="E1510" s="21">
        <v>24</v>
      </c>
      <c r="G1510" s="1" t="s">
        <v>1918</v>
      </c>
      <c r="H1510" s="1" t="s">
        <v>1919</v>
      </c>
      <c r="I1510" s="5">
        <v>40462</v>
      </c>
      <c r="J1510" s="18" t="s">
        <v>11</v>
      </c>
      <c r="K1510" s="1" t="s">
        <v>1915</v>
      </c>
      <c r="L1510" s="1" t="s">
        <v>1916</v>
      </c>
      <c r="M1510" s="5"/>
      <c r="N1510" s="5" t="s">
        <v>10</v>
      </c>
      <c r="O1510" s="5" t="s">
        <v>10</v>
      </c>
      <c r="P1510" s="1" t="s">
        <v>6405</v>
      </c>
      <c r="Q1510" s="1" t="s">
        <v>6417</v>
      </c>
      <c r="R1510" s="2" t="s">
        <v>4605</v>
      </c>
      <c r="S1510" s="1" t="s">
        <v>6244</v>
      </c>
      <c r="T1510" s="1">
        <v>497</v>
      </c>
      <c r="U1510" s="1">
        <v>327</v>
      </c>
      <c r="V1510" s="1">
        <v>217</v>
      </c>
      <c r="W1510" s="1">
        <v>102</v>
      </c>
      <c r="AE1510" s="1">
        <v>8</v>
      </c>
      <c r="AH1510" s="1">
        <v>170</v>
      </c>
      <c r="AI1510" s="1">
        <v>93</v>
      </c>
      <c r="AR1510" s="1">
        <v>77</v>
      </c>
    </row>
    <row r="1511" spans="1:44" x14ac:dyDescent="0.2">
      <c r="A1511" s="1" t="s">
        <v>1913</v>
      </c>
      <c r="B1511" s="1">
        <v>20947153</v>
      </c>
      <c r="C1511" s="1" t="s">
        <v>7420</v>
      </c>
      <c r="E1511" s="21">
        <v>8</v>
      </c>
      <c r="G1511" s="1" t="s">
        <v>1914</v>
      </c>
      <c r="H1511" s="1" t="s">
        <v>7138</v>
      </c>
      <c r="I1511" s="5">
        <v>40463</v>
      </c>
      <c r="J1511" s="18" t="s">
        <v>11</v>
      </c>
      <c r="K1511" s="1" t="s">
        <v>1169</v>
      </c>
      <c r="L1511" s="1" t="s">
        <v>1912</v>
      </c>
      <c r="M1511" s="5"/>
      <c r="N1511" s="5" t="s">
        <v>10</v>
      </c>
      <c r="O1511" s="5" t="s">
        <v>10</v>
      </c>
      <c r="P1511" s="1" t="s">
        <v>3567</v>
      </c>
      <c r="Q1511" s="1" t="s">
        <v>3568</v>
      </c>
      <c r="R1511" s="2" t="s">
        <v>4313</v>
      </c>
      <c r="S1511" s="1" t="s">
        <v>6242</v>
      </c>
      <c r="T1511" s="1">
        <v>1143</v>
      </c>
      <c r="U1511" s="1">
        <v>360</v>
      </c>
      <c r="X1511" s="1">
        <v>360</v>
      </c>
      <c r="AH1511" s="1">
        <v>783</v>
      </c>
      <c r="AK1511" s="1">
        <v>783</v>
      </c>
    </row>
    <row r="1512" spans="1:44" x14ac:dyDescent="0.2">
      <c r="A1512" s="1" t="s">
        <v>1842</v>
      </c>
      <c r="B1512" s="1">
        <v>20953186</v>
      </c>
      <c r="C1512" s="1" t="s">
        <v>7420</v>
      </c>
      <c r="E1512" s="21">
        <v>40</v>
      </c>
      <c r="G1512" s="1" t="s">
        <v>2575</v>
      </c>
      <c r="H1512" s="1" t="s">
        <v>1843</v>
      </c>
      <c r="I1512" s="5">
        <v>40468</v>
      </c>
      <c r="J1512" s="18" t="s">
        <v>11</v>
      </c>
      <c r="K1512" s="1" t="s">
        <v>28</v>
      </c>
      <c r="L1512" s="1" t="s">
        <v>1840</v>
      </c>
      <c r="M1512" s="5"/>
      <c r="N1512" s="5" t="s">
        <v>10</v>
      </c>
      <c r="O1512" s="5" t="s">
        <v>10</v>
      </c>
      <c r="P1512" s="1" t="s">
        <v>1841</v>
      </c>
      <c r="Q1512" s="1" t="s">
        <v>5561</v>
      </c>
      <c r="R1512" s="2" t="s">
        <v>4591</v>
      </c>
      <c r="S1512" s="1" t="s">
        <v>6243</v>
      </c>
      <c r="T1512" s="1">
        <v>6948</v>
      </c>
      <c r="U1512" s="1">
        <v>1460</v>
      </c>
      <c r="V1512" s="1">
        <v>1460</v>
      </c>
      <c r="AH1512" s="1">
        <v>5488</v>
      </c>
      <c r="AI1512" s="1">
        <v>5488</v>
      </c>
    </row>
    <row r="1513" spans="1:44" x14ac:dyDescent="0.2">
      <c r="A1513" s="1" t="s">
        <v>1338</v>
      </c>
      <c r="B1513" s="1">
        <v>20953187</v>
      </c>
      <c r="C1513" s="1" t="s">
        <v>7420</v>
      </c>
      <c r="E1513" s="21">
        <v>83</v>
      </c>
      <c r="G1513" s="1" t="s">
        <v>136</v>
      </c>
      <c r="H1513" s="1" t="s">
        <v>137</v>
      </c>
      <c r="I1513" s="5">
        <v>40468</v>
      </c>
      <c r="J1513" s="18" t="s">
        <v>10</v>
      </c>
      <c r="K1513" s="1" t="s">
        <v>28</v>
      </c>
      <c r="L1513" s="1" t="s">
        <v>2899</v>
      </c>
      <c r="M1513" s="5"/>
      <c r="N1513" s="5" t="s">
        <v>10</v>
      </c>
      <c r="O1513" s="5" t="s">
        <v>10</v>
      </c>
      <c r="P1513" s="1" t="s">
        <v>3382</v>
      </c>
      <c r="Q1513" s="1" t="s">
        <v>3383</v>
      </c>
      <c r="R1513" s="2" t="s">
        <v>4421</v>
      </c>
      <c r="S1513" s="1" t="s">
        <v>6244</v>
      </c>
      <c r="T1513" s="1">
        <v>29220</v>
      </c>
      <c r="U1513" s="1">
        <v>2366</v>
      </c>
      <c r="X1513" s="1">
        <v>2366</v>
      </c>
      <c r="AH1513" s="1">
        <v>26854</v>
      </c>
      <c r="AI1513" s="1">
        <v>7989</v>
      </c>
      <c r="AK1513" s="1">
        <v>18865</v>
      </c>
    </row>
    <row r="1514" spans="1:44" x14ac:dyDescent="0.2">
      <c r="A1514" s="1" t="s">
        <v>1837</v>
      </c>
      <c r="B1514" s="1">
        <v>20953188</v>
      </c>
      <c r="C1514" s="1" t="s">
        <v>7420</v>
      </c>
      <c r="E1514" s="21">
        <v>160</v>
      </c>
      <c r="G1514" s="1" t="s">
        <v>136</v>
      </c>
      <c r="H1514" s="1" t="s">
        <v>137</v>
      </c>
      <c r="I1514" s="5">
        <v>40468</v>
      </c>
      <c r="J1514" s="18" t="s">
        <v>11</v>
      </c>
      <c r="K1514" s="1" t="s">
        <v>28</v>
      </c>
      <c r="L1514" s="1" t="s">
        <v>1836</v>
      </c>
      <c r="M1514" s="5"/>
      <c r="N1514" s="5" t="s">
        <v>10</v>
      </c>
      <c r="O1514" s="5" t="s">
        <v>10</v>
      </c>
      <c r="P1514" s="1" t="s">
        <v>4079</v>
      </c>
      <c r="Q1514" s="1" t="s">
        <v>6083</v>
      </c>
      <c r="R1514" s="2" t="s">
        <v>4921</v>
      </c>
      <c r="S1514" s="1" t="s">
        <v>6243</v>
      </c>
      <c r="T1514" s="1">
        <v>14524</v>
      </c>
      <c r="U1514" s="1">
        <v>1618</v>
      </c>
      <c r="V1514" s="1">
        <v>1618</v>
      </c>
      <c r="AH1514" s="1">
        <v>12906</v>
      </c>
      <c r="AI1514" s="1">
        <v>12906</v>
      </c>
    </row>
    <row r="1515" spans="1:44" x14ac:dyDescent="0.2">
      <c r="A1515" s="1" t="s">
        <v>1845</v>
      </c>
      <c r="B1515" s="1">
        <v>20953189</v>
      </c>
      <c r="C1515" s="1" t="s">
        <v>7420</v>
      </c>
      <c r="E1515" s="21">
        <v>112</v>
      </c>
      <c r="G1515" s="1" t="s">
        <v>136</v>
      </c>
      <c r="H1515" s="1" t="s">
        <v>137</v>
      </c>
      <c r="I1515" s="5">
        <v>40468</v>
      </c>
      <c r="J1515" s="18" t="s">
        <v>11</v>
      </c>
      <c r="K1515" s="1" t="s">
        <v>28</v>
      </c>
      <c r="L1515" s="1" t="s">
        <v>1844</v>
      </c>
      <c r="M1515" s="5"/>
      <c r="N1515" s="5" t="s">
        <v>10</v>
      </c>
      <c r="O1515" s="5" t="s">
        <v>10</v>
      </c>
      <c r="P1515" s="1" t="s">
        <v>6344</v>
      </c>
      <c r="Q1515" s="1" t="s">
        <v>6345</v>
      </c>
      <c r="R1515" s="2" t="s">
        <v>4716</v>
      </c>
      <c r="S1515" s="1" t="s">
        <v>6243</v>
      </c>
      <c r="T1515" s="1">
        <v>13126</v>
      </c>
      <c r="U1515" s="1">
        <v>4377</v>
      </c>
      <c r="V1515" s="1">
        <v>4377</v>
      </c>
      <c r="AH1515" s="1">
        <v>8749</v>
      </c>
      <c r="AI1515" s="1">
        <v>8749</v>
      </c>
    </row>
    <row r="1516" spans="1:44" x14ac:dyDescent="0.2">
      <c r="A1516" s="1" t="s">
        <v>1839</v>
      </c>
      <c r="B1516" s="1">
        <v>20953190</v>
      </c>
      <c r="C1516" s="1" t="s">
        <v>7420</v>
      </c>
      <c r="E1516" s="21">
        <v>164</v>
      </c>
      <c r="G1516" s="1" t="s">
        <v>136</v>
      </c>
      <c r="H1516" s="1" t="s">
        <v>137</v>
      </c>
      <c r="I1516" s="5">
        <v>40468</v>
      </c>
      <c r="J1516" s="18" t="s">
        <v>11</v>
      </c>
      <c r="K1516" s="1" t="s">
        <v>28</v>
      </c>
      <c r="L1516" s="1" t="s">
        <v>1838</v>
      </c>
      <c r="M1516" s="5"/>
      <c r="N1516" s="5" t="s">
        <v>10</v>
      </c>
      <c r="O1516" s="5" t="s">
        <v>10</v>
      </c>
      <c r="P1516" s="1" t="s">
        <v>5162</v>
      </c>
      <c r="Q1516" s="1" t="s">
        <v>5163</v>
      </c>
      <c r="R1516" s="2" t="s">
        <v>4567</v>
      </c>
      <c r="S1516" s="1" t="s">
        <v>6243</v>
      </c>
      <c r="T1516" s="1">
        <v>15991</v>
      </c>
      <c r="U1516" s="1">
        <v>7353</v>
      </c>
      <c r="V1516" s="1">
        <v>7353</v>
      </c>
      <c r="AH1516" s="1">
        <v>8638</v>
      </c>
      <c r="AI1516" s="1">
        <v>8638</v>
      </c>
    </row>
    <row r="1517" spans="1:44" x14ac:dyDescent="0.2">
      <c r="A1517" s="1" t="s">
        <v>1863</v>
      </c>
      <c r="B1517" s="1">
        <v>20966902</v>
      </c>
      <c r="C1517" s="1" t="s">
        <v>7420</v>
      </c>
      <c r="E1517" s="21">
        <v>48</v>
      </c>
      <c r="G1517" s="1" t="s">
        <v>6705</v>
      </c>
      <c r="H1517" s="1" t="s">
        <v>7230</v>
      </c>
      <c r="I1517" s="5">
        <v>40472</v>
      </c>
      <c r="J1517" s="18" t="s">
        <v>11</v>
      </c>
      <c r="K1517" s="1" t="s">
        <v>686</v>
      </c>
      <c r="L1517" s="1" t="s">
        <v>1862</v>
      </c>
      <c r="M1517" s="5"/>
      <c r="N1517" s="5" t="s">
        <v>11</v>
      </c>
      <c r="O1517" s="5" t="s">
        <v>11</v>
      </c>
      <c r="P1517" s="1" t="s">
        <v>4020</v>
      </c>
      <c r="Q1517" s="1" t="s">
        <v>33</v>
      </c>
      <c r="R1517" s="2" t="s">
        <v>4337</v>
      </c>
      <c r="S1517" s="1" t="s">
        <v>6436</v>
      </c>
      <c r="T1517" s="1">
        <v>1792</v>
      </c>
      <c r="U1517" s="1">
        <v>1792</v>
      </c>
      <c r="AF1517" s="1">
        <v>1792</v>
      </c>
    </row>
    <row r="1518" spans="1:44" x14ac:dyDescent="0.2">
      <c r="A1518" s="1" t="s">
        <v>1982</v>
      </c>
      <c r="B1518" s="1">
        <v>20971583</v>
      </c>
      <c r="C1518" s="1" t="s">
        <v>7420</v>
      </c>
      <c r="E1518" s="21">
        <v>14</v>
      </c>
      <c r="G1518" s="1" t="s">
        <v>1983</v>
      </c>
      <c r="H1518" s="1" t="s">
        <v>137</v>
      </c>
      <c r="I1518" s="5">
        <v>40473</v>
      </c>
      <c r="J1518" s="18" t="s">
        <v>11</v>
      </c>
      <c r="K1518" s="1" t="s">
        <v>1980</v>
      </c>
      <c r="L1518" s="1" t="s">
        <v>1981</v>
      </c>
      <c r="M1518" s="5"/>
      <c r="N1518" s="5" t="s">
        <v>10</v>
      </c>
      <c r="O1518" s="5" t="s">
        <v>10</v>
      </c>
      <c r="P1518" s="1" t="s">
        <v>5259</v>
      </c>
      <c r="Q1518" s="1" t="s">
        <v>33</v>
      </c>
      <c r="R1518" s="2" t="s">
        <v>4065</v>
      </c>
      <c r="S1518" s="1" t="s">
        <v>6243</v>
      </c>
      <c r="T1518" s="1">
        <v>71</v>
      </c>
      <c r="U1518" s="1">
        <v>71</v>
      </c>
      <c r="V1518" s="1">
        <v>71</v>
      </c>
    </row>
    <row r="1519" spans="1:44" x14ac:dyDescent="0.2">
      <c r="A1519" s="1" t="s">
        <v>1970</v>
      </c>
      <c r="B1519" s="1">
        <v>20972438</v>
      </c>
      <c r="C1519" s="1" t="s">
        <v>7420</v>
      </c>
      <c r="E1519" s="21">
        <v>42</v>
      </c>
      <c r="G1519" s="1" t="s">
        <v>1016</v>
      </c>
      <c r="H1519" s="1" t="s">
        <v>525</v>
      </c>
      <c r="I1519" s="5">
        <v>40475</v>
      </c>
      <c r="J1519" s="18" t="s">
        <v>11</v>
      </c>
      <c r="K1519" s="1" t="s">
        <v>28</v>
      </c>
      <c r="L1519" s="1" t="s">
        <v>1969</v>
      </c>
      <c r="M1519" s="5"/>
      <c r="N1519" s="5" t="s">
        <v>10</v>
      </c>
      <c r="O1519" s="5" t="s">
        <v>10</v>
      </c>
      <c r="P1519" s="1" t="s">
        <v>5547</v>
      </c>
      <c r="Q1519" s="1" t="s">
        <v>6346</v>
      </c>
      <c r="R1519" s="2" t="s">
        <v>4057</v>
      </c>
      <c r="S1519" s="1" t="s">
        <v>6243</v>
      </c>
      <c r="T1519" s="1">
        <v>65309</v>
      </c>
      <c r="U1519" s="1">
        <v>8652</v>
      </c>
      <c r="V1519" s="1">
        <v>8652</v>
      </c>
      <c r="AH1519" s="1">
        <v>56657</v>
      </c>
      <c r="AI1519" s="1">
        <v>56657</v>
      </c>
    </row>
    <row r="1520" spans="1:44" x14ac:dyDescent="0.2">
      <c r="A1520" s="1" t="s">
        <v>1865</v>
      </c>
      <c r="B1520" s="1">
        <v>20972440</v>
      </c>
      <c r="C1520" s="1" t="s">
        <v>7420</v>
      </c>
      <c r="E1520" s="21">
        <v>7</v>
      </c>
      <c r="G1520" s="1" t="s">
        <v>145</v>
      </c>
      <c r="H1520" s="1" t="s">
        <v>146</v>
      </c>
      <c r="I1520" s="5">
        <v>40475</v>
      </c>
      <c r="J1520" s="18" t="s">
        <v>11</v>
      </c>
      <c r="K1520" s="1" t="s">
        <v>28</v>
      </c>
      <c r="L1520" s="1" t="s">
        <v>1864</v>
      </c>
      <c r="M1520" s="5"/>
      <c r="N1520" s="5" t="s">
        <v>10</v>
      </c>
      <c r="O1520" s="5" t="s">
        <v>10</v>
      </c>
      <c r="P1520" s="1" t="s">
        <v>5233</v>
      </c>
      <c r="Q1520" s="1" t="s">
        <v>5234</v>
      </c>
      <c r="R1520" s="2" t="s">
        <v>5011</v>
      </c>
      <c r="S1520" s="1" t="s">
        <v>6243</v>
      </c>
      <c r="T1520" s="1">
        <v>38382</v>
      </c>
      <c r="U1520" s="1">
        <v>7962</v>
      </c>
      <c r="V1520" s="1">
        <v>7962</v>
      </c>
      <c r="AH1520" s="1">
        <v>30420</v>
      </c>
      <c r="AI1520" s="1">
        <v>30420</v>
      </c>
    </row>
    <row r="1521" spans="1:37" x14ac:dyDescent="0.2">
      <c r="A1521" s="1" t="s">
        <v>2334</v>
      </c>
      <c r="B1521" s="1">
        <v>20975947</v>
      </c>
      <c r="C1521" s="1" t="s">
        <v>7420</v>
      </c>
      <c r="E1521" s="21">
        <v>31</v>
      </c>
      <c r="G1521" s="1" t="s">
        <v>2335</v>
      </c>
      <c r="H1521" s="1" t="s">
        <v>7169</v>
      </c>
      <c r="I1521" s="5">
        <v>40472</v>
      </c>
      <c r="J1521" s="18" t="s">
        <v>10</v>
      </c>
      <c r="K1521" s="1" t="s">
        <v>65</v>
      </c>
      <c r="L1521" s="1" t="s">
        <v>2900</v>
      </c>
      <c r="M1521" s="5"/>
      <c r="N1521" s="5" t="s">
        <v>10</v>
      </c>
      <c r="O1521" s="5" t="s">
        <v>10</v>
      </c>
      <c r="P1521" s="1" t="s">
        <v>3552</v>
      </c>
      <c r="Q1521" s="1" t="s">
        <v>3553</v>
      </c>
      <c r="R1521" s="6" t="s">
        <v>3215</v>
      </c>
      <c r="S1521" s="1" t="s">
        <v>6243</v>
      </c>
      <c r="T1521" s="1">
        <v>5540</v>
      </c>
      <c r="U1521" s="1">
        <v>2538</v>
      </c>
      <c r="V1521" s="1">
        <v>2538</v>
      </c>
      <c r="AH1521" s="1">
        <v>3002</v>
      </c>
      <c r="AI1521" s="1">
        <v>3002</v>
      </c>
    </row>
    <row r="1522" spans="1:37" x14ac:dyDescent="0.2">
      <c r="A1522" s="1" t="s">
        <v>1967</v>
      </c>
      <c r="B1522" s="1">
        <v>20978177</v>
      </c>
      <c r="C1522" s="1" t="s">
        <v>7420</v>
      </c>
      <c r="E1522" s="21">
        <v>278</v>
      </c>
      <c r="G1522" s="1" t="s">
        <v>1968</v>
      </c>
      <c r="H1522" s="1" t="s">
        <v>6689</v>
      </c>
      <c r="I1522" s="5">
        <v>40477</v>
      </c>
      <c r="J1522" s="18" t="s">
        <v>11</v>
      </c>
      <c r="K1522" s="1" t="s">
        <v>1396</v>
      </c>
      <c r="L1522" s="1" t="s">
        <v>1966</v>
      </c>
      <c r="M1522" s="5"/>
      <c r="N1522" s="5" t="s">
        <v>11</v>
      </c>
      <c r="O1522" s="5" t="s">
        <v>11</v>
      </c>
      <c r="P1522" s="1" t="s">
        <v>6187</v>
      </c>
      <c r="Q1522" s="1" t="s">
        <v>6188</v>
      </c>
      <c r="R1522" s="2" t="s">
        <v>4909</v>
      </c>
      <c r="S1522" s="1" t="s">
        <v>6243</v>
      </c>
      <c r="T1522" s="1">
        <v>1292</v>
      </c>
      <c r="U1522" s="1">
        <v>637</v>
      </c>
      <c r="V1522" s="1">
        <v>637</v>
      </c>
      <c r="AH1522" s="1">
        <v>655</v>
      </c>
      <c r="AI1522" s="1">
        <v>655</v>
      </c>
    </row>
    <row r="1523" spans="1:37" x14ac:dyDescent="0.2">
      <c r="A1523" s="1" t="s">
        <v>2442</v>
      </c>
      <c r="B1523" s="1">
        <v>20978265</v>
      </c>
      <c r="C1523" s="1" t="s">
        <v>7420</v>
      </c>
      <c r="E1523" s="21">
        <v>35</v>
      </c>
      <c r="G1523" s="1" t="s">
        <v>2443</v>
      </c>
      <c r="H1523" s="1" t="s">
        <v>7219</v>
      </c>
      <c r="I1523" s="5">
        <v>40477</v>
      </c>
      <c r="J1523" s="18" t="s">
        <v>10</v>
      </c>
      <c r="K1523" s="1" t="s">
        <v>455</v>
      </c>
      <c r="L1523" s="1" t="s">
        <v>2901</v>
      </c>
      <c r="M1523" s="5"/>
      <c r="N1523" s="5" t="s">
        <v>10</v>
      </c>
      <c r="O1523" s="5" t="s">
        <v>10</v>
      </c>
      <c r="P1523" s="1" t="s">
        <v>5470</v>
      </c>
      <c r="Q1523" s="7" t="s">
        <v>5632</v>
      </c>
      <c r="R1523" s="2" t="s">
        <v>5737</v>
      </c>
      <c r="S1523" s="1" t="s">
        <v>6244</v>
      </c>
      <c r="T1523" s="1">
        <v>30291</v>
      </c>
      <c r="U1523" s="1">
        <v>30291</v>
      </c>
      <c r="V1523" s="1">
        <v>23634</v>
      </c>
      <c r="W1523" s="1">
        <v>6657</v>
      </c>
    </row>
    <row r="1524" spans="1:37" x14ac:dyDescent="0.2">
      <c r="A1524" s="1" t="s">
        <v>1635</v>
      </c>
      <c r="B1524" s="1">
        <v>20981236</v>
      </c>
      <c r="C1524" s="1" t="s">
        <v>7420</v>
      </c>
      <c r="E1524" s="21">
        <v>32</v>
      </c>
      <c r="G1524" s="1" t="s">
        <v>6723</v>
      </c>
      <c r="H1524" s="1" t="s">
        <v>7282</v>
      </c>
      <c r="I1524" s="5">
        <v>40422</v>
      </c>
      <c r="J1524" s="18" t="s">
        <v>10</v>
      </c>
      <c r="K1524" s="1" t="s">
        <v>2902</v>
      </c>
      <c r="L1524" s="1" t="s">
        <v>2903</v>
      </c>
      <c r="M1524" s="5"/>
      <c r="N1524" s="5" t="s">
        <v>10</v>
      </c>
      <c r="O1524" s="5" t="s">
        <v>10</v>
      </c>
      <c r="P1524" s="1" t="s">
        <v>3842</v>
      </c>
      <c r="Q1524" s="1" t="s">
        <v>33</v>
      </c>
      <c r="R1524" s="2" t="s">
        <v>4949</v>
      </c>
      <c r="S1524" s="1" t="s">
        <v>6243</v>
      </c>
      <c r="T1524" s="1">
        <v>1343</v>
      </c>
      <c r="U1524" s="1">
        <v>1343</v>
      </c>
      <c r="V1524" s="1">
        <v>1343</v>
      </c>
    </row>
    <row r="1525" spans="1:37" x14ac:dyDescent="0.2">
      <c r="A1525" s="1" t="s">
        <v>1937</v>
      </c>
      <c r="B1525" s="1">
        <v>21037115</v>
      </c>
      <c r="C1525" s="1" t="s">
        <v>7420</v>
      </c>
      <c r="E1525" s="21">
        <v>57</v>
      </c>
      <c r="G1525" s="1" t="s">
        <v>1973</v>
      </c>
      <c r="H1525" s="1" t="s">
        <v>7239</v>
      </c>
      <c r="I1525" s="5">
        <v>40480</v>
      </c>
      <c r="J1525" s="18" t="s">
        <v>11</v>
      </c>
      <c r="K1525" s="1" t="s">
        <v>1971</v>
      </c>
      <c r="L1525" s="1" t="s">
        <v>1972</v>
      </c>
      <c r="M1525" s="5"/>
      <c r="N1525" s="5" t="s">
        <v>10</v>
      </c>
      <c r="O1525" s="5" t="s">
        <v>10</v>
      </c>
      <c r="P1525" s="1" t="s">
        <v>6189</v>
      </c>
      <c r="Q1525" s="1" t="s">
        <v>5601</v>
      </c>
      <c r="R1525" s="2" t="s">
        <v>4955</v>
      </c>
      <c r="S1525" s="1" t="s">
        <v>6243</v>
      </c>
      <c r="T1525" s="1">
        <v>3707</v>
      </c>
      <c r="U1525" s="1">
        <v>3205</v>
      </c>
      <c r="V1525" s="1">
        <v>3205</v>
      </c>
      <c r="AH1525" s="1">
        <v>502</v>
      </c>
      <c r="AI1525" s="1">
        <v>502</v>
      </c>
    </row>
    <row r="1526" spans="1:37" x14ac:dyDescent="0.2">
      <c r="A1526" s="1" t="s">
        <v>1923</v>
      </c>
      <c r="B1526" s="1">
        <v>21037568</v>
      </c>
      <c r="C1526" s="1" t="s">
        <v>7420</v>
      </c>
      <c r="E1526" s="21">
        <v>181</v>
      </c>
      <c r="G1526" s="1" t="s">
        <v>6849</v>
      </c>
      <c r="H1526" s="1" t="s">
        <v>6820</v>
      </c>
      <c r="I1526" s="5">
        <v>40482</v>
      </c>
      <c r="J1526" s="18" t="s">
        <v>11</v>
      </c>
      <c r="K1526" s="1" t="s">
        <v>28</v>
      </c>
      <c r="L1526" s="1" t="s">
        <v>1922</v>
      </c>
      <c r="M1526" s="5"/>
      <c r="N1526" s="5" t="s">
        <v>10</v>
      </c>
      <c r="O1526" s="5" t="s">
        <v>10</v>
      </c>
      <c r="P1526" s="1" t="s">
        <v>5335</v>
      </c>
      <c r="Q1526" s="1" t="s">
        <v>5336</v>
      </c>
      <c r="R1526" s="2" t="s">
        <v>4485</v>
      </c>
      <c r="S1526" s="1" t="s">
        <v>6243</v>
      </c>
      <c r="T1526" s="1">
        <v>11261</v>
      </c>
      <c r="U1526" s="1">
        <v>5788</v>
      </c>
      <c r="V1526" s="1">
        <v>5788</v>
      </c>
      <c r="AH1526" s="1">
        <v>5473</v>
      </c>
      <c r="AI1526" s="1">
        <v>5473</v>
      </c>
    </row>
    <row r="1527" spans="1:37" x14ac:dyDescent="0.2">
      <c r="A1527" s="1" t="s">
        <v>1911</v>
      </c>
      <c r="B1527" s="1">
        <v>21041247</v>
      </c>
      <c r="C1527" s="1" t="s">
        <v>7420</v>
      </c>
      <c r="E1527" s="21">
        <v>5927</v>
      </c>
      <c r="G1527" s="1" t="s">
        <v>6962</v>
      </c>
      <c r="H1527" s="1" t="s">
        <v>7152</v>
      </c>
      <c r="I1527" s="5">
        <v>40483</v>
      </c>
      <c r="J1527" s="18" t="s">
        <v>10</v>
      </c>
      <c r="K1527" s="1" t="s">
        <v>879</v>
      </c>
      <c r="L1527" s="1" t="s">
        <v>2904</v>
      </c>
      <c r="M1527" s="5"/>
      <c r="N1527" s="5" t="s">
        <v>10</v>
      </c>
      <c r="O1527" s="5" t="s">
        <v>10</v>
      </c>
      <c r="P1527" s="1" t="s">
        <v>5123</v>
      </c>
      <c r="Q1527" s="1" t="s">
        <v>5124</v>
      </c>
      <c r="R1527" s="2" t="s">
        <v>6457</v>
      </c>
      <c r="S1527" s="1" t="s">
        <v>6243</v>
      </c>
      <c r="T1527" s="1">
        <v>8737</v>
      </c>
      <c r="U1527" s="1">
        <v>4390</v>
      </c>
      <c r="V1527" s="1">
        <v>4390</v>
      </c>
      <c r="AH1527" s="1">
        <v>4347</v>
      </c>
      <c r="AI1527" s="1">
        <v>4347</v>
      </c>
    </row>
    <row r="1528" spans="1:37" x14ac:dyDescent="0.2">
      <c r="A1528" s="1" t="s">
        <v>1940</v>
      </c>
      <c r="B1528" s="1">
        <v>21041692</v>
      </c>
      <c r="C1528" s="1" t="s">
        <v>7420</v>
      </c>
      <c r="E1528" s="21">
        <v>18</v>
      </c>
      <c r="G1528" s="1" t="s">
        <v>6754</v>
      </c>
      <c r="H1528" s="1" t="s">
        <v>7252</v>
      </c>
      <c r="I1528" s="5">
        <v>40498</v>
      </c>
      <c r="J1528" s="18" t="s">
        <v>11</v>
      </c>
      <c r="K1528" s="1" t="s">
        <v>1371</v>
      </c>
      <c r="L1528" s="1" t="s">
        <v>1939</v>
      </c>
      <c r="M1528" s="5"/>
      <c r="N1528" s="5" t="s">
        <v>10</v>
      </c>
      <c r="O1528" s="5" t="s">
        <v>10</v>
      </c>
      <c r="P1528" s="1" t="s">
        <v>4203</v>
      </c>
      <c r="Q1528" s="1" t="s">
        <v>33</v>
      </c>
      <c r="R1528" s="2" t="s">
        <v>4445</v>
      </c>
      <c r="S1528" s="1" t="s">
        <v>6243</v>
      </c>
      <c r="T1528" s="1">
        <v>2334</v>
      </c>
      <c r="U1528" s="1">
        <v>2334</v>
      </c>
      <c r="V1528" s="1">
        <v>2334</v>
      </c>
    </row>
    <row r="1529" spans="1:37" x14ac:dyDescent="0.2">
      <c r="A1529" s="1" t="s">
        <v>1910</v>
      </c>
      <c r="B1529" s="1">
        <v>21042317</v>
      </c>
      <c r="C1529" s="1" t="s">
        <v>7420</v>
      </c>
      <c r="E1529" s="21">
        <v>1652</v>
      </c>
      <c r="G1529" s="1" t="s">
        <v>634</v>
      </c>
      <c r="H1529" s="1" t="s">
        <v>635</v>
      </c>
      <c r="I1529" s="5">
        <v>40484</v>
      </c>
      <c r="J1529" s="18" t="s">
        <v>11</v>
      </c>
      <c r="K1529" s="1" t="s">
        <v>71</v>
      </c>
      <c r="L1529" s="1" t="s">
        <v>1909</v>
      </c>
      <c r="M1529" s="5"/>
      <c r="N1529" s="5" t="s">
        <v>10</v>
      </c>
      <c r="O1529" s="5" t="s">
        <v>10</v>
      </c>
      <c r="P1529" s="1" t="s">
        <v>5177</v>
      </c>
      <c r="Q1529" s="1" t="s">
        <v>6347</v>
      </c>
      <c r="R1529" s="2" t="s">
        <v>4045</v>
      </c>
      <c r="S1529" s="1" t="s">
        <v>6243</v>
      </c>
      <c r="T1529" s="1">
        <v>12664</v>
      </c>
      <c r="U1529" s="1">
        <v>6104</v>
      </c>
      <c r="V1529" s="1">
        <v>6104</v>
      </c>
      <c r="AH1529" s="1">
        <v>6560</v>
      </c>
      <c r="AI1529" s="1">
        <v>6560</v>
      </c>
    </row>
    <row r="1530" spans="1:37" x14ac:dyDescent="0.2">
      <c r="A1530" s="1" t="s">
        <v>1873</v>
      </c>
      <c r="B1530" s="1">
        <v>21044948</v>
      </c>
      <c r="C1530" s="1" t="s">
        <v>7420</v>
      </c>
      <c r="E1530" s="21">
        <v>60</v>
      </c>
      <c r="G1530" s="1" t="s">
        <v>19</v>
      </c>
      <c r="H1530" s="1" t="s">
        <v>7195</v>
      </c>
      <c r="I1530" s="5">
        <v>40484</v>
      </c>
      <c r="J1530" s="18" t="s">
        <v>11</v>
      </c>
      <c r="K1530" s="1" t="s">
        <v>103</v>
      </c>
      <c r="L1530" s="1" t="s">
        <v>1872</v>
      </c>
      <c r="M1530" s="5"/>
      <c r="N1530" s="5" t="s">
        <v>10</v>
      </c>
      <c r="O1530" s="5" t="s">
        <v>10</v>
      </c>
      <c r="P1530" s="1" t="s">
        <v>4554</v>
      </c>
      <c r="Q1530" s="1" t="s">
        <v>3960</v>
      </c>
      <c r="R1530" s="2" t="s">
        <v>4178</v>
      </c>
      <c r="S1530" s="1" t="s">
        <v>6243</v>
      </c>
      <c r="T1530" s="1">
        <v>9903</v>
      </c>
      <c r="U1530" s="1">
        <v>6880</v>
      </c>
      <c r="V1530" s="1">
        <v>6880</v>
      </c>
      <c r="AH1530" s="1">
        <v>3023</v>
      </c>
      <c r="AI1530" s="1">
        <v>3023</v>
      </c>
    </row>
    <row r="1531" spans="1:37" x14ac:dyDescent="0.2">
      <c r="A1531" s="1" t="s">
        <v>227</v>
      </c>
      <c r="B1531" s="1">
        <v>21044949</v>
      </c>
      <c r="C1531" s="1" t="s">
        <v>7420</v>
      </c>
      <c r="E1531" s="21">
        <v>5</v>
      </c>
      <c r="G1531" s="1" t="s">
        <v>218</v>
      </c>
      <c r="H1531" s="1" t="s">
        <v>7376</v>
      </c>
      <c r="I1531" s="5">
        <v>40511</v>
      </c>
      <c r="J1531" s="18" t="s">
        <v>11</v>
      </c>
      <c r="K1531" s="1" t="s">
        <v>103</v>
      </c>
      <c r="L1531" s="1" t="s">
        <v>1927</v>
      </c>
      <c r="M1531" s="5"/>
      <c r="N1531" s="5" t="s">
        <v>10</v>
      </c>
      <c r="O1531" s="5" t="s">
        <v>10</v>
      </c>
      <c r="P1531" s="1" t="s">
        <v>4094</v>
      </c>
      <c r="Q1531" s="1" t="s">
        <v>4257</v>
      </c>
      <c r="R1531" s="2" t="s">
        <v>4388</v>
      </c>
      <c r="S1531" s="1" t="s">
        <v>6242</v>
      </c>
      <c r="T1531" s="1">
        <v>8806</v>
      </c>
      <c r="U1531" s="1">
        <v>1772</v>
      </c>
      <c r="X1531" s="1">
        <v>1772</v>
      </c>
      <c r="AH1531" s="1">
        <v>7034</v>
      </c>
      <c r="AK1531" s="1">
        <v>7034</v>
      </c>
    </row>
    <row r="1532" spans="1:37" x14ac:dyDescent="0.2">
      <c r="A1532" s="1" t="s">
        <v>1957</v>
      </c>
      <c r="B1532" s="1">
        <v>21048783</v>
      </c>
      <c r="C1532" s="1" t="s">
        <v>7420</v>
      </c>
      <c r="E1532" s="21">
        <v>70</v>
      </c>
      <c r="G1532" s="1" t="s">
        <v>1958</v>
      </c>
      <c r="H1532" s="1" t="s">
        <v>1959</v>
      </c>
      <c r="I1532" s="5">
        <v>40486</v>
      </c>
      <c r="J1532" s="18" t="s">
        <v>11</v>
      </c>
      <c r="K1532" s="1" t="s">
        <v>689</v>
      </c>
      <c r="L1532" s="1" t="s">
        <v>1954</v>
      </c>
      <c r="M1532" s="5"/>
      <c r="N1532" s="5" t="s">
        <v>10</v>
      </c>
      <c r="O1532" s="5" t="s">
        <v>10</v>
      </c>
      <c r="P1532" s="1" t="s">
        <v>1955</v>
      </c>
      <c r="Q1532" s="1" t="s">
        <v>1956</v>
      </c>
      <c r="R1532" s="2" t="s">
        <v>4596</v>
      </c>
      <c r="S1532" s="1" t="s">
        <v>6242</v>
      </c>
      <c r="T1532" s="1">
        <v>225</v>
      </c>
      <c r="U1532" s="1">
        <v>117</v>
      </c>
      <c r="X1532" s="1">
        <v>117</v>
      </c>
      <c r="AH1532" s="1">
        <v>108</v>
      </c>
      <c r="AK1532" s="1">
        <v>108</v>
      </c>
    </row>
    <row r="1533" spans="1:37" x14ac:dyDescent="0.2">
      <c r="A1533" s="1" t="s">
        <v>1961</v>
      </c>
      <c r="B1533" s="1">
        <v>21051598</v>
      </c>
      <c r="C1533" s="1" t="s">
        <v>7420</v>
      </c>
      <c r="E1533" s="21">
        <v>328</v>
      </c>
      <c r="G1533" s="1" t="s">
        <v>1962</v>
      </c>
      <c r="H1533" s="1" t="s">
        <v>7173</v>
      </c>
      <c r="I1533" s="5">
        <v>40486</v>
      </c>
      <c r="J1533" s="18" t="s">
        <v>11</v>
      </c>
      <c r="K1533" s="1" t="s">
        <v>25</v>
      </c>
      <c r="L1533" s="1" t="s">
        <v>1960</v>
      </c>
      <c r="M1533" s="5"/>
      <c r="N1533" s="5" t="s">
        <v>10</v>
      </c>
      <c r="O1533" s="5" t="s">
        <v>10</v>
      </c>
      <c r="P1533" s="1" t="s">
        <v>4087</v>
      </c>
      <c r="Q1533" s="1" t="s">
        <v>33</v>
      </c>
      <c r="R1533" s="2" t="s">
        <v>4480</v>
      </c>
      <c r="S1533" s="1" t="s">
        <v>6244</v>
      </c>
      <c r="T1533" s="1">
        <v>3622</v>
      </c>
      <c r="U1533" s="1">
        <v>3622</v>
      </c>
      <c r="V1533" s="1">
        <v>1712</v>
      </c>
      <c r="W1533" s="1">
        <v>1233</v>
      </c>
      <c r="Z1533" s="1">
        <v>677</v>
      </c>
    </row>
    <row r="1534" spans="1:37" x14ac:dyDescent="0.2">
      <c r="A1534" s="1" t="s">
        <v>1877</v>
      </c>
      <c r="B1534" s="1">
        <v>21051773</v>
      </c>
      <c r="C1534" s="1" t="s">
        <v>7420</v>
      </c>
      <c r="E1534" s="21">
        <v>132</v>
      </c>
      <c r="G1534" s="1" t="s">
        <v>1878</v>
      </c>
      <c r="H1534" s="1" t="s">
        <v>2561</v>
      </c>
      <c r="I1534" s="5">
        <v>40486</v>
      </c>
      <c r="J1534" s="18" t="s">
        <v>11</v>
      </c>
      <c r="K1534" s="1" t="s">
        <v>103</v>
      </c>
      <c r="L1534" s="1" t="s">
        <v>1876</v>
      </c>
      <c r="M1534" s="5"/>
      <c r="N1534" s="5" t="s">
        <v>10</v>
      </c>
      <c r="O1534" s="5" t="s">
        <v>10</v>
      </c>
      <c r="P1534" s="1" t="s">
        <v>3857</v>
      </c>
      <c r="Q1534" s="1" t="s">
        <v>3858</v>
      </c>
      <c r="R1534" s="2" t="s">
        <v>1780</v>
      </c>
      <c r="S1534" s="1" t="s">
        <v>6243</v>
      </c>
      <c r="T1534" s="1">
        <v>765</v>
      </c>
      <c r="U1534" s="1">
        <v>192</v>
      </c>
      <c r="V1534" s="1">
        <v>192</v>
      </c>
      <c r="AH1534" s="1">
        <v>573</v>
      </c>
      <c r="AI1534" s="1">
        <v>573</v>
      </c>
    </row>
    <row r="1535" spans="1:37" x14ac:dyDescent="0.2">
      <c r="A1535" s="1" t="s">
        <v>2102</v>
      </c>
      <c r="B1535" s="1">
        <v>21057379</v>
      </c>
      <c r="C1535" s="1" t="s">
        <v>7420</v>
      </c>
      <c r="E1535" s="21">
        <v>17</v>
      </c>
      <c r="G1535" s="1" t="s">
        <v>1926</v>
      </c>
      <c r="H1535" s="1" t="s">
        <v>7146</v>
      </c>
      <c r="I1535" s="5">
        <v>40575</v>
      </c>
      <c r="J1535" s="18" t="s">
        <v>11</v>
      </c>
      <c r="K1535" s="1" t="s">
        <v>1520</v>
      </c>
      <c r="L1535" s="1" t="s">
        <v>2100</v>
      </c>
      <c r="M1535" s="5"/>
      <c r="N1535" s="5" t="s">
        <v>10</v>
      </c>
      <c r="O1535" s="5" t="s">
        <v>10</v>
      </c>
      <c r="P1535" s="1" t="s">
        <v>2101</v>
      </c>
      <c r="Q1535" s="1" t="s">
        <v>33</v>
      </c>
      <c r="R1535" s="2" t="s">
        <v>4244</v>
      </c>
      <c r="S1535" s="1" t="s">
        <v>6243</v>
      </c>
      <c r="T1535" s="1">
        <v>1534</v>
      </c>
      <c r="U1535" s="1">
        <v>1534</v>
      </c>
      <c r="V1535" s="1">
        <v>1534</v>
      </c>
    </row>
    <row r="1536" spans="1:37" x14ac:dyDescent="0.2">
      <c r="A1536" s="1" t="s">
        <v>1290</v>
      </c>
      <c r="B1536" s="1">
        <v>21059979</v>
      </c>
      <c r="C1536" s="1" t="s">
        <v>7420</v>
      </c>
      <c r="D1536" s="1" t="s">
        <v>7411</v>
      </c>
      <c r="E1536" s="21">
        <v>3</v>
      </c>
      <c r="G1536" s="1" t="s">
        <v>2568</v>
      </c>
      <c r="H1536" s="1" t="s">
        <v>7165</v>
      </c>
      <c r="I1536" s="5">
        <v>40490</v>
      </c>
      <c r="J1536" s="18" t="s">
        <v>11</v>
      </c>
      <c r="K1536" s="1" t="s">
        <v>1949</v>
      </c>
      <c r="L1536" s="1" t="s">
        <v>1950</v>
      </c>
      <c r="M1536" s="5"/>
      <c r="N1536" s="5" t="s">
        <v>10</v>
      </c>
      <c r="O1536" s="5" t="s">
        <v>10</v>
      </c>
      <c r="P1536" s="1" t="s">
        <v>1951</v>
      </c>
      <c r="Q1536" s="1" t="s">
        <v>6655</v>
      </c>
      <c r="R1536" s="2" t="s">
        <v>4939</v>
      </c>
      <c r="S1536" s="1" t="s">
        <v>6243</v>
      </c>
      <c r="T1536" s="1">
        <v>1504</v>
      </c>
      <c r="U1536" s="1">
        <v>841</v>
      </c>
      <c r="V1536" s="1">
        <v>841</v>
      </c>
      <c r="AH1536" s="1">
        <v>663</v>
      </c>
      <c r="AI1536" s="1">
        <v>663</v>
      </c>
    </row>
    <row r="1537" spans="1:44" x14ac:dyDescent="0.2">
      <c r="A1537" s="1" t="s">
        <v>1435</v>
      </c>
      <c r="B1537" s="1">
        <v>21059989</v>
      </c>
      <c r="C1537" s="1" t="s">
        <v>7420</v>
      </c>
      <c r="E1537" s="21">
        <v>69</v>
      </c>
      <c r="G1537" s="1" t="s">
        <v>89</v>
      </c>
      <c r="H1537" s="1" t="s">
        <v>7126</v>
      </c>
      <c r="I1537" s="5">
        <v>40490</v>
      </c>
      <c r="J1537" s="18" t="s">
        <v>11</v>
      </c>
      <c r="K1537" s="1" t="s">
        <v>290</v>
      </c>
      <c r="L1537" s="1" t="s">
        <v>1952</v>
      </c>
      <c r="M1537" s="5"/>
      <c r="N1537" s="5" t="s">
        <v>10</v>
      </c>
      <c r="O1537" s="5" t="s">
        <v>10</v>
      </c>
      <c r="P1537" s="1" t="s">
        <v>1953</v>
      </c>
      <c r="Q1537" s="1" t="s">
        <v>4383</v>
      </c>
      <c r="R1537" s="2" t="s">
        <v>4758</v>
      </c>
      <c r="S1537" s="1" t="s">
        <v>6244</v>
      </c>
      <c r="T1537" s="1">
        <v>5118</v>
      </c>
      <c r="U1537" s="1">
        <v>1093</v>
      </c>
      <c r="Z1537" s="1">
        <v>1093</v>
      </c>
      <c r="AH1537" s="1">
        <v>4025</v>
      </c>
      <c r="AI1537" s="1">
        <v>3839</v>
      </c>
      <c r="AM1537" s="1">
        <v>186</v>
      </c>
    </row>
    <row r="1538" spans="1:44" x14ac:dyDescent="0.2">
      <c r="A1538" s="1" t="s">
        <v>2444</v>
      </c>
      <c r="B1538" s="1">
        <v>21060006</v>
      </c>
      <c r="C1538" s="1" t="s">
        <v>7420</v>
      </c>
      <c r="E1538" s="21">
        <v>131</v>
      </c>
      <c r="G1538" s="1" t="s">
        <v>2196</v>
      </c>
      <c r="H1538" s="1" t="s">
        <v>7222</v>
      </c>
      <c r="I1538" s="5">
        <v>40490</v>
      </c>
      <c r="J1538" s="18" t="s">
        <v>10</v>
      </c>
      <c r="K1538" s="1" t="s">
        <v>293</v>
      </c>
      <c r="L1538" s="1" t="s">
        <v>2905</v>
      </c>
      <c r="M1538" s="5"/>
      <c r="N1538" s="5" t="s">
        <v>10</v>
      </c>
      <c r="O1538" s="5" t="s">
        <v>10</v>
      </c>
      <c r="P1538" s="1" t="s">
        <v>5204</v>
      </c>
      <c r="Q1538" s="1" t="s">
        <v>6643</v>
      </c>
      <c r="R1538" s="2" t="s">
        <v>5730</v>
      </c>
      <c r="S1538" s="1" t="s">
        <v>6243</v>
      </c>
      <c r="T1538" s="1">
        <v>10149</v>
      </c>
      <c r="U1538" s="1">
        <v>2020</v>
      </c>
      <c r="V1538" s="1">
        <v>2020</v>
      </c>
      <c r="AH1538" s="1">
        <v>8129</v>
      </c>
      <c r="AI1538" s="1">
        <v>8129</v>
      </c>
    </row>
    <row r="1539" spans="1:44" x14ac:dyDescent="0.2">
      <c r="A1539" s="1" t="s">
        <v>1979</v>
      </c>
      <c r="B1539" s="1">
        <v>21060860</v>
      </c>
      <c r="C1539" s="1" t="s">
        <v>7420</v>
      </c>
      <c r="E1539" s="21">
        <v>92</v>
      </c>
      <c r="G1539" s="1" t="s">
        <v>6737</v>
      </c>
      <c r="H1539" s="1" t="s">
        <v>6675</v>
      </c>
      <c r="I1539" s="5">
        <v>40479</v>
      </c>
      <c r="J1539" s="18" t="s">
        <v>11</v>
      </c>
      <c r="K1539" s="1" t="s">
        <v>65</v>
      </c>
      <c r="L1539" s="1" t="s">
        <v>1978</v>
      </c>
      <c r="M1539" s="5"/>
      <c r="N1539" s="5" t="s">
        <v>11</v>
      </c>
      <c r="O1539" s="5" t="s">
        <v>11</v>
      </c>
      <c r="P1539" s="1" t="s">
        <v>5410</v>
      </c>
      <c r="Q1539" s="1" t="s">
        <v>6348</v>
      </c>
      <c r="R1539" s="2" t="s">
        <v>4277</v>
      </c>
      <c r="S1539" s="1" t="s">
        <v>6243</v>
      </c>
      <c r="T1539" s="1">
        <v>4189</v>
      </c>
      <c r="U1539" s="1">
        <v>1703</v>
      </c>
      <c r="V1539" s="1">
        <v>1703</v>
      </c>
      <c r="AH1539" s="1">
        <v>2486</v>
      </c>
      <c r="AI1539" s="1">
        <v>2486</v>
      </c>
    </row>
    <row r="1540" spans="1:44" x14ac:dyDescent="0.2">
      <c r="A1540" s="1" t="s">
        <v>1976</v>
      </c>
      <c r="B1540" s="1">
        <v>21060863</v>
      </c>
      <c r="C1540" s="1" t="s">
        <v>7420</v>
      </c>
      <c r="E1540" s="21">
        <v>15</v>
      </c>
      <c r="G1540" s="1" t="s">
        <v>1977</v>
      </c>
      <c r="H1540" s="1" t="s">
        <v>7315</v>
      </c>
      <c r="I1540" s="5">
        <v>40479</v>
      </c>
      <c r="J1540" s="18" t="s">
        <v>11</v>
      </c>
      <c r="K1540" s="1" t="s">
        <v>65</v>
      </c>
      <c r="L1540" s="1" t="s">
        <v>1974</v>
      </c>
      <c r="M1540" s="5"/>
      <c r="N1540" s="5" t="s">
        <v>10</v>
      </c>
      <c r="O1540" s="5" t="s">
        <v>10</v>
      </c>
      <c r="P1540" s="1" t="s">
        <v>6197</v>
      </c>
      <c r="Q1540" s="1" t="s">
        <v>6085</v>
      </c>
      <c r="R1540" s="2" t="s">
        <v>1975</v>
      </c>
      <c r="S1540" s="1" t="s">
        <v>6243</v>
      </c>
      <c r="T1540" s="1">
        <v>22031</v>
      </c>
      <c r="U1540" s="1">
        <v>15358</v>
      </c>
      <c r="V1540" s="1">
        <v>15358</v>
      </c>
      <c r="AH1540" s="1">
        <v>6673</v>
      </c>
      <c r="AI1540" s="1">
        <v>6673</v>
      </c>
    </row>
    <row r="1541" spans="1:44" x14ac:dyDescent="0.2">
      <c r="A1541" s="1" t="s">
        <v>1880</v>
      </c>
      <c r="B1541" s="1">
        <v>21061259</v>
      </c>
      <c r="C1541" s="1" t="s">
        <v>7420</v>
      </c>
      <c r="E1541" s="21">
        <v>244</v>
      </c>
      <c r="G1541" s="1" t="s">
        <v>7051</v>
      </c>
      <c r="H1541" s="1" t="s">
        <v>7339</v>
      </c>
      <c r="I1541" s="5">
        <v>40490</v>
      </c>
      <c r="J1541" s="18" t="s">
        <v>11</v>
      </c>
      <c r="K1541" s="1" t="s">
        <v>462</v>
      </c>
      <c r="L1541" s="1" t="s">
        <v>1879</v>
      </c>
      <c r="M1541" s="5"/>
      <c r="N1541" s="5" t="s">
        <v>10</v>
      </c>
      <c r="O1541" s="5" t="s">
        <v>10</v>
      </c>
      <c r="P1541" s="1" t="s">
        <v>6203</v>
      </c>
      <c r="Q1541" s="1" t="s">
        <v>6204</v>
      </c>
      <c r="R1541" s="2" t="s">
        <v>4927</v>
      </c>
      <c r="S1541" s="1" t="s">
        <v>6243</v>
      </c>
      <c r="T1541" s="1">
        <v>1286</v>
      </c>
      <c r="U1541" s="1">
        <v>566</v>
      </c>
      <c r="V1541" s="1">
        <v>566</v>
      </c>
      <c r="AH1541" s="1">
        <v>720</v>
      </c>
      <c r="AI1541" s="1">
        <v>720</v>
      </c>
    </row>
    <row r="1542" spans="1:44" x14ac:dyDescent="0.2">
      <c r="A1542" s="1" t="s">
        <v>289</v>
      </c>
      <c r="B1542" s="1">
        <v>21062454</v>
      </c>
      <c r="C1542" s="1" t="s">
        <v>7420</v>
      </c>
      <c r="E1542" s="21">
        <v>8</v>
      </c>
      <c r="G1542" s="1" t="s">
        <v>7031</v>
      </c>
      <c r="H1542" s="1" t="s">
        <v>6675</v>
      </c>
      <c r="I1542" s="5">
        <v>40491</v>
      </c>
      <c r="J1542" s="18" t="s">
        <v>11</v>
      </c>
      <c r="K1542" s="1" t="s">
        <v>1947</v>
      </c>
      <c r="L1542" s="1" t="s">
        <v>1948</v>
      </c>
      <c r="M1542" s="5"/>
      <c r="N1542" s="5" t="s">
        <v>11</v>
      </c>
      <c r="O1542" s="5" t="s">
        <v>11</v>
      </c>
      <c r="P1542" s="1" t="s">
        <v>4489</v>
      </c>
      <c r="Q1542" s="1" t="s">
        <v>4763</v>
      </c>
      <c r="R1542" s="2" t="s">
        <v>4571</v>
      </c>
      <c r="S1542" s="1" t="s">
        <v>6243</v>
      </c>
      <c r="T1542" s="1">
        <v>13805</v>
      </c>
      <c r="U1542" s="1">
        <v>5200</v>
      </c>
      <c r="V1542" s="1">
        <v>5200</v>
      </c>
      <c r="AH1542" s="1">
        <v>8605</v>
      </c>
      <c r="AI1542" s="1">
        <v>8605</v>
      </c>
    </row>
    <row r="1543" spans="1:44" x14ac:dyDescent="0.2">
      <c r="A1543" s="1" t="s">
        <v>2414</v>
      </c>
      <c r="B1543" s="1">
        <v>21062987</v>
      </c>
      <c r="C1543" s="1" t="s">
        <v>7420</v>
      </c>
      <c r="E1543" s="21">
        <v>20</v>
      </c>
      <c r="G1543" s="1" t="s">
        <v>6966</v>
      </c>
      <c r="H1543" s="1" t="s">
        <v>7181</v>
      </c>
      <c r="I1543" s="5">
        <v>40491</v>
      </c>
      <c r="J1543" s="18" t="s">
        <v>10</v>
      </c>
      <c r="K1543" s="1" t="s">
        <v>662</v>
      </c>
      <c r="L1543" s="1" t="s">
        <v>2906</v>
      </c>
      <c r="M1543" s="5"/>
      <c r="N1543" s="5" t="s">
        <v>10</v>
      </c>
      <c r="O1543" s="5" t="s">
        <v>10</v>
      </c>
      <c r="P1543" s="1" t="s">
        <v>3400</v>
      </c>
      <c r="Q1543" s="1" t="s">
        <v>33</v>
      </c>
      <c r="R1543" s="2" t="s">
        <v>6669</v>
      </c>
      <c r="S1543" s="1" t="s">
        <v>6248</v>
      </c>
      <c r="T1543" s="1">
        <v>80</v>
      </c>
      <c r="U1543" s="1">
        <v>80</v>
      </c>
      <c r="AE1543" s="1">
        <v>80</v>
      </c>
    </row>
    <row r="1544" spans="1:44" x14ac:dyDescent="0.2">
      <c r="A1544" s="1" t="s">
        <v>973</v>
      </c>
      <c r="B1544" s="1">
        <v>21063236</v>
      </c>
      <c r="C1544" s="1" t="s">
        <v>7420</v>
      </c>
      <c r="E1544" s="21">
        <v>36</v>
      </c>
      <c r="G1544" s="1" t="s">
        <v>6977</v>
      </c>
      <c r="H1544" s="1" t="s">
        <v>458</v>
      </c>
      <c r="I1544" s="5">
        <v>40488</v>
      </c>
      <c r="J1544" s="18" t="s">
        <v>10</v>
      </c>
      <c r="K1544" s="1" t="s">
        <v>294</v>
      </c>
      <c r="L1544" s="1" t="s">
        <v>2907</v>
      </c>
      <c r="M1544" s="5"/>
      <c r="N1544" s="5" t="s">
        <v>10</v>
      </c>
      <c r="O1544" s="5" t="s">
        <v>10</v>
      </c>
      <c r="P1544" s="1" t="s">
        <v>6178</v>
      </c>
      <c r="Q1544" s="1" t="s">
        <v>6179</v>
      </c>
      <c r="R1544" s="2" t="s">
        <v>4132</v>
      </c>
      <c r="S1544" s="1" t="s">
        <v>6243</v>
      </c>
      <c r="T1544" s="1">
        <v>244</v>
      </c>
      <c r="U1544" s="1">
        <v>202</v>
      </c>
      <c r="V1544" s="1">
        <v>202</v>
      </c>
      <c r="AH1544" s="1">
        <v>42</v>
      </c>
      <c r="AI1544" s="1">
        <v>42</v>
      </c>
    </row>
    <row r="1545" spans="1:44" x14ac:dyDescent="0.2">
      <c r="A1545" s="1" t="s">
        <v>1946</v>
      </c>
      <c r="B1545" s="1">
        <v>21068099</v>
      </c>
      <c r="C1545" s="1" t="s">
        <v>7420</v>
      </c>
      <c r="E1545" s="21">
        <v>18</v>
      </c>
      <c r="G1545" s="1" t="s">
        <v>6858</v>
      </c>
      <c r="H1545" s="1" t="s">
        <v>430</v>
      </c>
      <c r="I1545" s="5">
        <v>40492</v>
      </c>
      <c r="J1545" s="18" t="s">
        <v>11</v>
      </c>
      <c r="K1545" s="1" t="s">
        <v>1944</v>
      </c>
      <c r="L1545" s="1" t="s">
        <v>1945</v>
      </c>
      <c r="M1545" s="5"/>
      <c r="N1545" s="5" t="s">
        <v>10</v>
      </c>
      <c r="O1545" s="5" t="s">
        <v>10</v>
      </c>
      <c r="P1545" s="1" t="s">
        <v>5173</v>
      </c>
      <c r="Q1545" s="1" t="s">
        <v>5174</v>
      </c>
      <c r="R1545" s="2" t="s">
        <v>4569</v>
      </c>
      <c r="S1545" s="1" t="s">
        <v>6244</v>
      </c>
      <c r="T1545" s="1">
        <v>53576</v>
      </c>
      <c r="U1545" s="1">
        <v>38280</v>
      </c>
      <c r="V1545" s="1">
        <v>38280</v>
      </c>
      <c r="AH1545" s="1">
        <v>15296</v>
      </c>
      <c r="AI1545" s="1">
        <v>12868</v>
      </c>
      <c r="AK1545" s="1">
        <v>2428</v>
      </c>
    </row>
    <row r="1546" spans="1:44" x14ac:dyDescent="0.2">
      <c r="A1546" s="1" t="s">
        <v>1431</v>
      </c>
      <c r="B1546" s="1">
        <v>21072045</v>
      </c>
      <c r="C1546" s="1" t="s">
        <v>7420</v>
      </c>
      <c r="E1546" s="21">
        <v>87</v>
      </c>
      <c r="G1546" s="1" t="s">
        <v>6986</v>
      </c>
      <c r="H1546" s="1" t="s">
        <v>6987</v>
      </c>
      <c r="I1546" s="5">
        <v>40494</v>
      </c>
      <c r="J1546" s="18" t="s">
        <v>10</v>
      </c>
      <c r="K1546" s="1" t="s">
        <v>2908</v>
      </c>
      <c r="L1546" s="1" t="s">
        <v>2909</v>
      </c>
      <c r="M1546" s="5"/>
      <c r="N1546" s="5" t="s">
        <v>10</v>
      </c>
      <c r="O1546" s="5" t="s">
        <v>10</v>
      </c>
      <c r="P1546" s="1" t="s">
        <v>3352</v>
      </c>
      <c r="Q1546" s="1" t="s">
        <v>3353</v>
      </c>
      <c r="R1546" s="2" t="s">
        <v>3354</v>
      </c>
      <c r="S1546" s="1" t="s">
        <v>6389</v>
      </c>
      <c r="T1546" s="1">
        <v>141</v>
      </c>
      <c r="U1546" s="1">
        <v>83</v>
      </c>
      <c r="V1546" s="1">
        <v>83</v>
      </c>
      <c r="AH1546" s="1">
        <v>58</v>
      </c>
      <c r="AR1546" s="1">
        <v>58</v>
      </c>
    </row>
    <row r="1547" spans="1:44" x14ac:dyDescent="0.2">
      <c r="A1547" s="1" t="s">
        <v>1135</v>
      </c>
      <c r="B1547" s="1">
        <v>21072201</v>
      </c>
      <c r="C1547" s="1" t="s">
        <v>7420</v>
      </c>
      <c r="E1547" s="21">
        <v>41</v>
      </c>
      <c r="G1547" s="1" t="s">
        <v>6772</v>
      </c>
      <c r="H1547" s="1" t="s">
        <v>7054</v>
      </c>
      <c r="I1547" s="5">
        <v>40485</v>
      </c>
      <c r="J1547" s="18" t="s">
        <v>11</v>
      </c>
      <c r="K1547" s="1" t="s">
        <v>181</v>
      </c>
      <c r="L1547" s="1" t="s">
        <v>1963</v>
      </c>
      <c r="M1547" s="5"/>
      <c r="N1547" s="5" t="s">
        <v>10</v>
      </c>
      <c r="O1547" s="5" t="s">
        <v>10</v>
      </c>
      <c r="P1547" s="1" t="s">
        <v>1964</v>
      </c>
      <c r="Q1547" s="1" t="s">
        <v>1965</v>
      </c>
      <c r="R1547" s="2" t="s">
        <v>4690</v>
      </c>
      <c r="S1547" s="1" t="s">
        <v>6242</v>
      </c>
      <c r="T1547" s="1">
        <v>772</v>
      </c>
      <c r="U1547" s="1">
        <v>180</v>
      </c>
      <c r="X1547" s="1">
        <v>180</v>
      </c>
      <c r="AH1547" s="1">
        <v>592</v>
      </c>
      <c r="AK1547" s="1">
        <v>592</v>
      </c>
    </row>
    <row r="1548" spans="1:44" x14ac:dyDescent="0.2">
      <c r="A1548" s="1" t="s">
        <v>1921</v>
      </c>
      <c r="B1548" s="1">
        <v>21076409</v>
      </c>
      <c r="C1548" s="1" t="s">
        <v>7420</v>
      </c>
      <c r="E1548" s="21">
        <v>64</v>
      </c>
      <c r="G1548" s="1" t="s">
        <v>6756</v>
      </c>
      <c r="H1548" s="1" t="s">
        <v>7252</v>
      </c>
      <c r="I1548" s="5">
        <v>40496</v>
      </c>
      <c r="J1548" s="18" t="s">
        <v>11</v>
      </c>
      <c r="K1548" s="1" t="s">
        <v>28</v>
      </c>
      <c r="L1548" s="1" t="s">
        <v>1920</v>
      </c>
      <c r="M1548" s="5"/>
      <c r="N1548" s="5" t="s">
        <v>10</v>
      </c>
      <c r="O1548" s="5" t="s">
        <v>10</v>
      </c>
      <c r="P1548" s="1" t="s">
        <v>5283</v>
      </c>
      <c r="Q1548" s="1" t="s">
        <v>5284</v>
      </c>
      <c r="R1548" s="2" t="s">
        <v>868</v>
      </c>
      <c r="S1548" s="1" t="s">
        <v>6243</v>
      </c>
      <c r="T1548" s="1">
        <v>47577</v>
      </c>
      <c r="U1548" s="1">
        <v>40407</v>
      </c>
      <c r="V1548" s="1">
        <v>40407</v>
      </c>
      <c r="AH1548" s="1">
        <v>7170</v>
      </c>
      <c r="AI1548" s="1">
        <v>7170</v>
      </c>
    </row>
    <row r="1549" spans="1:44" x14ac:dyDescent="0.2">
      <c r="A1549" s="1" t="s">
        <v>1943</v>
      </c>
      <c r="B1549" s="1">
        <v>21079520</v>
      </c>
      <c r="C1549" s="1" t="s">
        <v>7420</v>
      </c>
      <c r="E1549" s="21">
        <v>16</v>
      </c>
      <c r="G1549" s="1" t="s">
        <v>6963</v>
      </c>
      <c r="H1549" s="1" t="s">
        <v>7090</v>
      </c>
      <c r="I1549" s="5">
        <v>40494</v>
      </c>
      <c r="J1549" s="18" t="s">
        <v>11</v>
      </c>
      <c r="K1549" s="1" t="s">
        <v>1941</v>
      </c>
      <c r="L1549" s="1" t="s">
        <v>1942</v>
      </c>
      <c r="M1549" s="5"/>
      <c r="N1549" s="5" t="s">
        <v>10</v>
      </c>
      <c r="O1549" s="5" t="s">
        <v>10</v>
      </c>
      <c r="P1549" s="1" t="s">
        <v>3833</v>
      </c>
      <c r="Q1549" s="1" t="s">
        <v>33</v>
      </c>
      <c r="R1549" s="2" t="s">
        <v>4866</v>
      </c>
      <c r="S1549" s="1" t="s">
        <v>6242</v>
      </c>
      <c r="T1549" s="1">
        <v>105</v>
      </c>
      <c r="U1549" s="1">
        <v>105</v>
      </c>
      <c r="X1549" s="1">
        <v>105</v>
      </c>
    </row>
    <row r="1550" spans="1:44" x14ac:dyDescent="0.2">
      <c r="A1550" s="1" t="s">
        <v>1543</v>
      </c>
      <c r="B1550" s="1">
        <v>21079607</v>
      </c>
      <c r="C1550" s="1" t="s">
        <v>7420</v>
      </c>
      <c r="E1550" s="21">
        <v>67</v>
      </c>
      <c r="G1550" s="1" t="s">
        <v>1908</v>
      </c>
      <c r="H1550" s="1" t="s">
        <v>7060</v>
      </c>
      <c r="I1550" s="5">
        <v>40498</v>
      </c>
      <c r="J1550" s="18" t="s">
        <v>11</v>
      </c>
      <c r="K1550" s="1" t="s">
        <v>71</v>
      </c>
      <c r="L1550" s="1" t="s">
        <v>1907</v>
      </c>
      <c r="M1550" s="5"/>
      <c r="N1550" s="5" t="s">
        <v>10</v>
      </c>
      <c r="O1550" s="5" t="s">
        <v>10</v>
      </c>
      <c r="P1550" s="1" t="s">
        <v>7046</v>
      </c>
      <c r="Q1550" s="1" t="s">
        <v>33</v>
      </c>
      <c r="R1550" s="2" t="s">
        <v>4804</v>
      </c>
      <c r="S1550" s="1" t="s">
        <v>6243</v>
      </c>
      <c r="T1550" s="1">
        <v>4806</v>
      </c>
      <c r="U1550" s="1">
        <v>4806</v>
      </c>
      <c r="V1550" s="1">
        <v>4806</v>
      </c>
    </row>
    <row r="1551" spans="1:44" x14ac:dyDescent="0.2">
      <c r="A1551" s="1" t="s">
        <v>1868</v>
      </c>
      <c r="B1551" s="1">
        <v>21082022</v>
      </c>
      <c r="C1551" s="1" t="s">
        <v>7420</v>
      </c>
      <c r="E1551" s="21">
        <v>103</v>
      </c>
      <c r="G1551" s="1" t="s">
        <v>655</v>
      </c>
      <c r="H1551" s="1" t="s">
        <v>7222</v>
      </c>
      <c r="I1551" s="5">
        <v>40479</v>
      </c>
      <c r="J1551" s="18" t="s">
        <v>11</v>
      </c>
      <c r="K1551" s="1" t="s">
        <v>65</v>
      </c>
      <c r="L1551" s="1" t="s">
        <v>1867</v>
      </c>
      <c r="M1551" s="5"/>
      <c r="N1551" s="5" t="s">
        <v>10</v>
      </c>
      <c r="O1551" s="5" t="s">
        <v>10</v>
      </c>
      <c r="P1551" s="1" t="s">
        <v>3999</v>
      </c>
      <c r="Q1551" s="1" t="s">
        <v>5081</v>
      </c>
      <c r="R1551" s="2" t="s">
        <v>4000</v>
      </c>
      <c r="S1551" s="1" t="s">
        <v>6243</v>
      </c>
      <c r="T1551" s="1">
        <v>39706</v>
      </c>
      <c r="U1551" s="1">
        <v>3320</v>
      </c>
      <c r="V1551" s="1">
        <v>3320</v>
      </c>
      <c r="AH1551" s="1">
        <v>36386</v>
      </c>
      <c r="AI1551" s="1">
        <v>36386</v>
      </c>
    </row>
    <row r="1552" spans="1:44" x14ac:dyDescent="0.2">
      <c r="A1552" s="1" t="s">
        <v>1885</v>
      </c>
      <c r="B1552" s="1">
        <v>21084426</v>
      </c>
      <c r="C1552" s="1" t="s">
        <v>7420</v>
      </c>
      <c r="E1552" s="21">
        <v>58</v>
      </c>
      <c r="G1552" s="1" t="s">
        <v>19</v>
      </c>
      <c r="H1552" s="1" t="s">
        <v>7195</v>
      </c>
      <c r="I1552" s="5">
        <v>40499</v>
      </c>
      <c r="J1552" s="18" t="s">
        <v>11</v>
      </c>
      <c r="K1552" s="1" t="s">
        <v>103</v>
      </c>
      <c r="L1552" s="1" t="s">
        <v>1884</v>
      </c>
      <c r="M1552" s="5"/>
      <c r="N1552" s="5" t="s">
        <v>10</v>
      </c>
      <c r="O1552" s="5" t="s">
        <v>10</v>
      </c>
      <c r="P1552" s="1" t="s">
        <v>3960</v>
      </c>
      <c r="Q1552" s="1" t="s">
        <v>5493</v>
      </c>
      <c r="R1552" s="2" t="s">
        <v>4166</v>
      </c>
      <c r="S1552" s="1" t="s">
        <v>6243</v>
      </c>
      <c r="T1552" s="1">
        <v>13319</v>
      </c>
      <c r="U1552" s="1">
        <v>3023</v>
      </c>
      <c r="V1552" s="1">
        <v>3023</v>
      </c>
      <c r="AH1552" s="1">
        <v>10296</v>
      </c>
      <c r="AI1552" s="1">
        <v>10296</v>
      </c>
    </row>
    <row r="1553" spans="1:37" x14ac:dyDescent="0.2">
      <c r="A1553" s="1" t="s">
        <v>679</v>
      </c>
      <c r="B1553" s="1">
        <v>21087763</v>
      </c>
      <c r="C1553" s="1" t="s">
        <v>7420</v>
      </c>
      <c r="E1553" s="21">
        <v>38</v>
      </c>
      <c r="G1553" s="1" t="s">
        <v>6918</v>
      </c>
      <c r="H1553" s="1" t="s">
        <v>7202</v>
      </c>
      <c r="I1553" s="5">
        <v>40499</v>
      </c>
      <c r="J1553" s="18" t="s">
        <v>11</v>
      </c>
      <c r="K1553" s="1" t="s">
        <v>16</v>
      </c>
      <c r="L1553" s="1" t="s">
        <v>1938</v>
      </c>
      <c r="M1553" s="5"/>
      <c r="N1553" s="5" t="s">
        <v>10</v>
      </c>
      <c r="O1553" s="5" t="s">
        <v>10</v>
      </c>
      <c r="P1553" s="1" t="s">
        <v>5599</v>
      </c>
      <c r="Q1553" s="1" t="s">
        <v>5600</v>
      </c>
      <c r="R1553" s="2" t="s">
        <v>4317</v>
      </c>
      <c r="S1553" s="1" t="s">
        <v>6243</v>
      </c>
      <c r="T1553" s="1">
        <v>1041</v>
      </c>
      <c r="U1553" s="1">
        <v>533</v>
      </c>
      <c r="V1553" s="1">
        <v>533</v>
      </c>
      <c r="AH1553" s="1">
        <v>508</v>
      </c>
      <c r="AI1553" s="1">
        <v>508</v>
      </c>
    </row>
    <row r="1554" spans="1:37" x14ac:dyDescent="0.2">
      <c r="A1554" s="1" t="s">
        <v>1883</v>
      </c>
      <c r="B1554" s="1">
        <v>21088011</v>
      </c>
      <c r="C1554" s="1" t="s">
        <v>7420</v>
      </c>
      <c r="E1554" s="21">
        <v>8</v>
      </c>
      <c r="G1554" s="1" t="s">
        <v>165</v>
      </c>
      <c r="H1554" s="1" t="s">
        <v>7192</v>
      </c>
      <c r="I1554" s="5">
        <v>40500</v>
      </c>
      <c r="J1554" s="18" t="s">
        <v>11</v>
      </c>
      <c r="K1554" s="1" t="s">
        <v>1881</v>
      </c>
      <c r="L1554" s="1" t="s">
        <v>1882</v>
      </c>
      <c r="M1554" s="5"/>
      <c r="N1554" s="5" t="s">
        <v>10</v>
      </c>
      <c r="O1554" s="5" t="s">
        <v>10</v>
      </c>
      <c r="P1554" s="1" t="s">
        <v>3971</v>
      </c>
      <c r="Q1554" s="1" t="s">
        <v>4806</v>
      </c>
      <c r="R1554" s="2" t="s">
        <v>4422</v>
      </c>
      <c r="S1554" s="1" t="s">
        <v>6243</v>
      </c>
      <c r="T1554" s="1">
        <v>19036</v>
      </c>
      <c r="U1554" s="1">
        <v>2905</v>
      </c>
      <c r="V1554" s="1">
        <v>2905</v>
      </c>
      <c r="AH1554" s="1">
        <v>16131</v>
      </c>
      <c r="AI1554" s="1">
        <v>16131</v>
      </c>
    </row>
    <row r="1555" spans="1:37" x14ac:dyDescent="0.2">
      <c r="A1555" s="1" t="s">
        <v>1937</v>
      </c>
      <c r="B1555" s="1">
        <v>21094521</v>
      </c>
      <c r="C1555" s="1" t="s">
        <v>7420</v>
      </c>
      <c r="E1555" s="21">
        <v>16</v>
      </c>
      <c r="G1555" s="1" t="s">
        <v>1207</v>
      </c>
      <c r="H1555" s="1" t="s">
        <v>1208</v>
      </c>
      <c r="I1555" s="5">
        <v>40501</v>
      </c>
      <c r="J1555" s="18" t="s">
        <v>11</v>
      </c>
      <c r="K1555" s="1" t="s">
        <v>1169</v>
      </c>
      <c r="L1555" s="1" t="s">
        <v>1936</v>
      </c>
      <c r="M1555" s="5"/>
      <c r="N1555" s="5" t="s">
        <v>10</v>
      </c>
      <c r="O1555" s="5" t="s">
        <v>10</v>
      </c>
      <c r="P1555" s="1" t="s">
        <v>4168</v>
      </c>
      <c r="Q1555" s="1" t="s">
        <v>4169</v>
      </c>
      <c r="R1555" s="2" t="s">
        <v>4892</v>
      </c>
      <c r="S1555" s="1" t="s">
        <v>6243</v>
      </c>
      <c r="T1555" s="1">
        <v>7165</v>
      </c>
      <c r="U1555" s="1">
        <v>3853</v>
      </c>
      <c r="V1555" s="1">
        <v>3853</v>
      </c>
      <c r="AH1555" s="1">
        <v>3312</v>
      </c>
      <c r="AI1555" s="1">
        <v>3312</v>
      </c>
    </row>
    <row r="1556" spans="1:37" x14ac:dyDescent="0.2">
      <c r="A1556" s="1" t="s">
        <v>289</v>
      </c>
      <c r="B1556" s="1">
        <v>21095009</v>
      </c>
      <c r="C1556" s="1" t="s">
        <v>7420</v>
      </c>
      <c r="E1556" s="21">
        <v>789</v>
      </c>
      <c r="G1556" s="1" t="s">
        <v>1904</v>
      </c>
      <c r="H1556" s="1" t="s">
        <v>1102</v>
      </c>
      <c r="I1556" s="5">
        <v>40502</v>
      </c>
      <c r="J1556" s="18" t="s">
        <v>11</v>
      </c>
      <c r="K1556" s="1" t="s">
        <v>1410</v>
      </c>
      <c r="L1556" s="1" t="s">
        <v>1902</v>
      </c>
      <c r="M1556" s="5"/>
      <c r="N1556" s="5" t="s">
        <v>10</v>
      </c>
      <c r="O1556" s="5" t="s">
        <v>10</v>
      </c>
      <c r="P1556" s="1" t="s">
        <v>1903</v>
      </c>
      <c r="Q1556" s="1" t="s">
        <v>4259</v>
      </c>
      <c r="R1556" s="2" t="s">
        <v>4930</v>
      </c>
      <c r="S1556" s="1" t="s">
        <v>6242</v>
      </c>
      <c r="T1556" s="1">
        <v>4067</v>
      </c>
      <c r="U1556" s="1">
        <v>980</v>
      </c>
      <c r="X1556" s="1">
        <v>980</v>
      </c>
      <c r="AH1556" s="1">
        <v>3087</v>
      </c>
      <c r="AK1556" s="1">
        <v>3087</v>
      </c>
    </row>
    <row r="1557" spans="1:37" x14ac:dyDescent="0.2">
      <c r="A1557" s="1" t="s">
        <v>1933</v>
      </c>
      <c r="B1557" s="1">
        <v>21098505</v>
      </c>
      <c r="C1557" s="1" t="s">
        <v>7420</v>
      </c>
      <c r="E1557" s="21">
        <v>24</v>
      </c>
      <c r="G1557" s="1" t="s">
        <v>1782</v>
      </c>
      <c r="H1557" s="1" t="s">
        <v>7334</v>
      </c>
      <c r="I1557" s="5">
        <v>40505</v>
      </c>
      <c r="J1557" s="18" t="s">
        <v>10</v>
      </c>
      <c r="K1557" s="1" t="s">
        <v>103</v>
      </c>
      <c r="L1557" s="1" t="s">
        <v>2910</v>
      </c>
      <c r="M1557" s="5"/>
      <c r="N1557" s="5" t="s">
        <v>10</v>
      </c>
      <c r="O1557" s="5" t="s">
        <v>10</v>
      </c>
      <c r="P1557" s="1" t="s">
        <v>3206</v>
      </c>
      <c r="Q1557" s="1" t="s">
        <v>3207</v>
      </c>
      <c r="R1557" s="2" t="s">
        <v>4910</v>
      </c>
      <c r="S1557" s="1" t="s">
        <v>6242</v>
      </c>
      <c r="T1557" s="1">
        <v>5080</v>
      </c>
      <c r="U1557" s="1">
        <v>2538</v>
      </c>
      <c r="X1557" s="1">
        <v>2538</v>
      </c>
      <c r="AH1557" s="1">
        <v>2542</v>
      </c>
      <c r="AK1557" s="1">
        <v>2542</v>
      </c>
    </row>
    <row r="1558" spans="1:37" x14ac:dyDescent="0.2">
      <c r="A1558" s="1" t="s">
        <v>1901</v>
      </c>
      <c r="B1558" s="1">
        <v>21098978</v>
      </c>
      <c r="C1558" s="1" t="s">
        <v>7420</v>
      </c>
      <c r="E1558" s="21">
        <v>327</v>
      </c>
      <c r="G1558" s="1" t="s">
        <v>89</v>
      </c>
      <c r="H1558" s="1" t="s">
        <v>7126</v>
      </c>
      <c r="I1558" s="5">
        <v>40505</v>
      </c>
      <c r="J1558" s="18" t="s">
        <v>11</v>
      </c>
      <c r="K1558" s="1" t="s">
        <v>1080</v>
      </c>
      <c r="L1558" s="1" t="s">
        <v>1900</v>
      </c>
      <c r="M1558" s="5"/>
      <c r="N1558" s="5" t="s">
        <v>10</v>
      </c>
      <c r="O1558" s="5" t="s">
        <v>10</v>
      </c>
      <c r="P1558" s="1" t="s">
        <v>6350</v>
      </c>
      <c r="Q1558" s="1" t="s">
        <v>6184</v>
      </c>
      <c r="R1558" s="2" t="s">
        <v>4977</v>
      </c>
      <c r="S1558" s="1" t="s">
        <v>6244</v>
      </c>
      <c r="T1558" s="1">
        <v>13029</v>
      </c>
      <c r="U1558" s="1">
        <v>266</v>
      </c>
      <c r="AC1558" s="1">
        <v>266</v>
      </c>
      <c r="AH1558" s="1">
        <v>12763</v>
      </c>
      <c r="AI1558" s="1">
        <v>12763</v>
      </c>
    </row>
    <row r="1559" spans="1:37" x14ac:dyDescent="0.2">
      <c r="A1559" s="1" t="s">
        <v>1935</v>
      </c>
      <c r="B1559" s="1">
        <v>21102462</v>
      </c>
      <c r="C1559" s="1" t="s">
        <v>7420</v>
      </c>
      <c r="E1559" s="21">
        <v>1032</v>
      </c>
      <c r="G1559" s="1" t="s">
        <v>776</v>
      </c>
      <c r="H1559" s="1" t="s">
        <v>6674</v>
      </c>
      <c r="I1559" s="5">
        <v>40503</v>
      </c>
      <c r="J1559" s="18" t="s">
        <v>11</v>
      </c>
      <c r="K1559" s="1" t="s">
        <v>28</v>
      </c>
      <c r="L1559" s="1" t="s">
        <v>1934</v>
      </c>
      <c r="M1559" s="5"/>
      <c r="N1559" s="5" t="s">
        <v>11</v>
      </c>
      <c r="O1559" s="5" t="s">
        <v>11</v>
      </c>
      <c r="P1559" s="1" t="s">
        <v>5405</v>
      </c>
      <c r="Q1559" s="1" t="s">
        <v>6349</v>
      </c>
      <c r="R1559" s="2" t="s">
        <v>868</v>
      </c>
      <c r="S1559" s="1" t="s">
        <v>6243</v>
      </c>
      <c r="T1559" s="1">
        <v>102533</v>
      </c>
      <c r="U1559" s="1">
        <v>87802</v>
      </c>
      <c r="V1559" s="1">
        <v>87802</v>
      </c>
      <c r="AH1559" s="1">
        <v>14731</v>
      </c>
      <c r="AI1559" s="1">
        <v>14731</v>
      </c>
    </row>
    <row r="1560" spans="1:37" x14ac:dyDescent="0.2">
      <c r="A1560" s="1" t="s">
        <v>183</v>
      </c>
      <c r="B1560" s="1">
        <v>21102463</v>
      </c>
      <c r="C1560" s="1" t="s">
        <v>7420</v>
      </c>
      <c r="E1560" s="21">
        <v>70</v>
      </c>
      <c r="G1560" s="1" t="s">
        <v>21</v>
      </c>
      <c r="H1560" s="1" t="s">
        <v>22</v>
      </c>
      <c r="I1560" s="5">
        <v>40503</v>
      </c>
      <c r="J1560" s="18" t="s">
        <v>11</v>
      </c>
      <c r="K1560" s="1" t="s">
        <v>28</v>
      </c>
      <c r="L1560" s="1" t="s">
        <v>1899</v>
      </c>
      <c r="M1560" s="5"/>
      <c r="N1560" s="5" t="s">
        <v>10</v>
      </c>
      <c r="O1560" s="5" t="s">
        <v>10</v>
      </c>
      <c r="P1560" s="1" t="s">
        <v>5568</v>
      </c>
      <c r="Q1560" s="1" t="s">
        <v>5569</v>
      </c>
      <c r="R1560" s="2" t="s">
        <v>4386</v>
      </c>
      <c r="S1560" s="1" t="s">
        <v>6243</v>
      </c>
      <c r="T1560" s="1">
        <v>52351</v>
      </c>
      <c r="U1560" s="1">
        <v>21389</v>
      </c>
      <c r="V1560" s="1">
        <v>21389</v>
      </c>
      <c r="AH1560" s="1">
        <v>30962</v>
      </c>
      <c r="AI1560" s="1">
        <v>30962</v>
      </c>
    </row>
    <row r="1561" spans="1:37" x14ac:dyDescent="0.2">
      <c r="A1561" s="1" t="s">
        <v>1644</v>
      </c>
      <c r="B1561" s="1">
        <v>21104366</v>
      </c>
      <c r="C1561" s="1" t="s">
        <v>7420</v>
      </c>
      <c r="E1561" s="21">
        <v>37</v>
      </c>
      <c r="G1561" s="1" t="s">
        <v>6983</v>
      </c>
      <c r="H1561" s="1" t="s">
        <v>7231</v>
      </c>
      <c r="I1561" s="5">
        <v>40505</v>
      </c>
      <c r="J1561" s="18" t="s">
        <v>11</v>
      </c>
      <c r="K1561" s="1" t="s">
        <v>1897</v>
      </c>
      <c r="L1561" s="1" t="s">
        <v>1898</v>
      </c>
      <c r="M1561" s="5"/>
      <c r="N1561" s="5" t="s">
        <v>10</v>
      </c>
      <c r="O1561" s="5" t="s">
        <v>10</v>
      </c>
      <c r="P1561" s="1" t="s">
        <v>5656</v>
      </c>
      <c r="Q1561" s="1" t="s">
        <v>3945</v>
      </c>
      <c r="R1561" s="2" t="s">
        <v>4865</v>
      </c>
      <c r="S1561" s="1" t="s">
        <v>6244</v>
      </c>
      <c r="T1561" s="1">
        <v>2628</v>
      </c>
      <c r="U1561" s="1">
        <v>1000</v>
      </c>
      <c r="V1561" s="1">
        <v>1000</v>
      </c>
      <c r="AH1561" s="1">
        <v>1628</v>
      </c>
      <c r="AK1561" s="1">
        <v>1628</v>
      </c>
    </row>
    <row r="1562" spans="1:37" x14ac:dyDescent="0.2">
      <c r="A1562" s="1" t="s">
        <v>2095</v>
      </c>
      <c r="B1562" s="1">
        <v>21105107</v>
      </c>
      <c r="C1562" s="1" t="s">
        <v>7420</v>
      </c>
      <c r="E1562" s="21">
        <v>17</v>
      </c>
      <c r="G1562" s="1" t="s">
        <v>6838</v>
      </c>
      <c r="H1562" s="1" t="s">
        <v>2096</v>
      </c>
      <c r="I1562" s="5">
        <v>40513</v>
      </c>
      <c r="J1562" s="18" t="s">
        <v>11</v>
      </c>
      <c r="K1562" s="1" t="s">
        <v>2091</v>
      </c>
      <c r="L1562" s="1" t="s">
        <v>2092</v>
      </c>
      <c r="M1562" s="5"/>
      <c r="N1562" s="5" t="s">
        <v>10</v>
      </c>
      <c r="O1562" s="5" t="s">
        <v>10</v>
      </c>
      <c r="P1562" s="1" t="s">
        <v>2093</v>
      </c>
      <c r="Q1562" s="1" t="s">
        <v>2094</v>
      </c>
      <c r="R1562" s="2" t="s">
        <v>4820</v>
      </c>
      <c r="S1562" s="1" t="s">
        <v>6242</v>
      </c>
      <c r="T1562" s="1">
        <v>1073</v>
      </c>
      <c r="U1562" s="1">
        <v>451</v>
      </c>
      <c r="X1562" s="1">
        <v>451</v>
      </c>
      <c r="AH1562" s="1">
        <v>622</v>
      </c>
      <c r="AK1562" s="1">
        <v>622</v>
      </c>
    </row>
    <row r="1563" spans="1:37" x14ac:dyDescent="0.2">
      <c r="A1563" s="1" t="s">
        <v>1896</v>
      </c>
      <c r="B1563" s="1">
        <v>21106707</v>
      </c>
      <c r="C1563" s="1" t="s">
        <v>7420</v>
      </c>
      <c r="E1563" s="21">
        <v>13</v>
      </c>
      <c r="G1563" s="1" t="s">
        <v>7063</v>
      </c>
      <c r="H1563" s="1" t="s">
        <v>7062</v>
      </c>
      <c r="I1563" s="5">
        <v>40506</v>
      </c>
      <c r="J1563" s="18" t="s">
        <v>11</v>
      </c>
      <c r="K1563" s="1" t="s">
        <v>103</v>
      </c>
      <c r="L1563" s="1" t="s">
        <v>1895</v>
      </c>
      <c r="M1563" s="5"/>
      <c r="N1563" s="5" t="s">
        <v>10</v>
      </c>
      <c r="O1563" s="5" t="s">
        <v>10</v>
      </c>
      <c r="P1563" s="1" t="s">
        <v>5360</v>
      </c>
      <c r="Q1563" s="1" t="s">
        <v>5361</v>
      </c>
      <c r="R1563" s="2" t="s">
        <v>4931</v>
      </c>
      <c r="S1563" s="1" t="s">
        <v>6243</v>
      </c>
      <c r="T1563" s="1">
        <v>1507</v>
      </c>
      <c r="U1563" s="1">
        <v>673</v>
      </c>
      <c r="V1563" s="1">
        <v>673</v>
      </c>
      <c r="AH1563" s="1">
        <v>834</v>
      </c>
      <c r="AI1563" s="1">
        <v>834</v>
      </c>
    </row>
    <row r="1564" spans="1:37" x14ac:dyDescent="0.2">
      <c r="A1564" s="1" t="s">
        <v>1058</v>
      </c>
      <c r="B1564" s="1">
        <v>21107309</v>
      </c>
      <c r="C1564" s="1" t="s">
        <v>7420</v>
      </c>
      <c r="E1564" s="21">
        <v>39</v>
      </c>
      <c r="G1564" s="1" t="s">
        <v>1893</v>
      </c>
      <c r="H1564" s="1" t="s">
        <v>1894</v>
      </c>
      <c r="I1564" s="5">
        <v>40506</v>
      </c>
      <c r="J1564" s="18" t="s">
        <v>11</v>
      </c>
      <c r="K1564" s="1" t="s">
        <v>1891</v>
      </c>
      <c r="L1564" s="1" t="s">
        <v>1892</v>
      </c>
      <c r="M1564" s="5"/>
      <c r="N1564" s="5" t="s">
        <v>10</v>
      </c>
      <c r="O1564" s="5" t="s">
        <v>10</v>
      </c>
      <c r="P1564" s="1" t="s">
        <v>6398</v>
      </c>
      <c r="Q1564" s="1" t="s">
        <v>33</v>
      </c>
      <c r="R1564" s="2" t="s">
        <v>4158</v>
      </c>
      <c r="S1564" s="1" t="s">
        <v>6244</v>
      </c>
      <c r="T1564" s="1">
        <v>738</v>
      </c>
      <c r="U1564" s="1">
        <v>738</v>
      </c>
      <c r="V1564" s="1">
        <v>417</v>
      </c>
      <c r="W1564" s="1">
        <v>217</v>
      </c>
      <c r="AE1564" s="1">
        <v>104</v>
      </c>
    </row>
    <row r="1565" spans="1:37" x14ac:dyDescent="0.2">
      <c r="A1565" s="1" t="s">
        <v>1932</v>
      </c>
      <c r="B1565" s="1">
        <v>21107343</v>
      </c>
      <c r="C1565" s="1" t="s">
        <v>7420</v>
      </c>
      <c r="E1565" s="21">
        <v>872</v>
      </c>
      <c r="G1565" s="1" t="s">
        <v>9</v>
      </c>
      <c r="H1565" s="1" t="s">
        <v>7192</v>
      </c>
      <c r="I1565" s="5">
        <v>40507</v>
      </c>
      <c r="J1565" s="18" t="s">
        <v>11</v>
      </c>
      <c r="K1565" s="1" t="s">
        <v>689</v>
      </c>
      <c r="L1565" s="1" t="s">
        <v>1931</v>
      </c>
      <c r="M1565" s="5"/>
      <c r="N1565" s="5" t="s">
        <v>10</v>
      </c>
      <c r="O1565" s="5" t="s">
        <v>10</v>
      </c>
      <c r="P1565" s="1" t="s">
        <v>4037</v>
      </c>
      <c r="Q1565" s="1" t="s">
        <v>4661</v>
      </c>
      <c r="R1565" s="2" t="s">
        <v>4995</v>
      </c>
      <c r="S1565" s="1" t="s">
        <v>6242</v>
      </c>
      <c r="T1565" s="1">
        <v>13130</v>
      </c>
      <c r="U1565" s="1">
        <v>1733</v>
      </c>
      <c r="X1565" s="1">
        <v>1733</v>
      </c>
      <c r="AH1565" s="1">
        <v>11397</v>
      </c>
      <c r="AK1565" s="1">
        <v>11397</v>
      </c>
    </row>
    <row r="1566" spans="1:37" x14ac:dyDescent="0.2">
      <c r="A1566" s="1" t="s">
        <v>1929</v>
      </c>
      <c r="B1566" s="1">
        <v>21113153</v>
      </c>
      <c r="C1566" s="1" t="s">
        <v>7420</v>
      </c>
      <c r="E1566" s="21">
        <v>15</v>
      </c>
      <c r="G1566" s="1" t="s">
        <v>1930</v>
      </c>
      <c r="H1566" s="1" t="s">
        <v>7027</v>
      </c>
      <c r="I1566" s="5">
        <v>40510</v>
      </c>
      <c r="J1566" s="18" t="s">
        <v>11</v>
      </c>
      <c r="K1566" s="1" t="s">
        <v>28</v>
      </c>
      <c r="L1566" s="1" t="s">
        <v>1928</v>
      </c>
      <c r="M1566" s="5"/>
      <c r="N1566" s="5" t="s">
        <v>11</v>
      </c>
      <c r="O1566" s="5" t="s">
        <v>11</v>
      </c>
      <c r="P1566" s="1" t="s">
        <v>5552</v>
      </c>
      <c r="Q1566" s="1" t="s">
        <v>3882</v>
      </c>
      <c r="R1566" s="2" t="s">
        <v>4474</v>
      </c>
      <c r="S1566" s="1" t="s">
        <v>6243</v>
      </c>
      <c r="T1566" s="1">
        <v>1997</v>
      </c>
      <c r="U1566" s="1">
        <v>930</v>
      </c>
      <c r="V1566" s="1">
        <v>930</v>
      </c>
      <c r="AH1566" s="1">
        <v>1067</v>
      </c>
      <c r="AI1566" s="1">
        <v>1067</v>
      </c>
    </row>
    <row r="1567" spans="1:37" x14ac:dyDescent="0.2">
      <c r="A1567" s="1" t="s">
        <v>2438</v>
      </c>
      <c r="B1567" s="1">
        <v>21114353</v>
      </c>
      <c r="C1567" s="1" t="s">
        <v>7420</v>
      </c>
      <c r="D1567" s="1">
        <v>1</v>
      </c>
      <c r="E1567" s="21">
        <v>0</v>
      </c>
      <c r="G1567" s="1" t="s">
        <v>2439</v>
      </c>
      <c r="H1567" s="1" t="s">
        <v>179</v>
      </c>
      <c r="I1567" s="5">
        <v>40513</v>
      </c>
      <c r="J1567" s="18" t="s">
        <v>10</v>
      </c>
      <c r="K1567" s="1" t="s">
        <v>2911</v>
      </c>
      <c r="L1567" s="1" t="s">
        <v>2912</v>
      </c>
      <c r="M1567" s="5"/>
      <c r="N1567" s="5" t="s">
        <v>10</v>
      </c>
      <c r="O1567" s="5" t="s">
        <v>10</v>
      </c>
      <c r="P1567" s="1" t="s">
        <v>5273</v>
      </c>
      <c r="Q1567" s="1" t="s">
        <v>33</v>
      </c>
      <c r="R1567" s="2" t="s">
        <v>5960</v>
      </c>
      <c r="S1567" s="1" t="s">
        <v>6243</v>
      </c>
      <c r="T1567" s="1">
        <v>3972</v>
      </c>
      <c r="U1567" s="1">
        <v>3972</v>
      </c>
      <c r="V1567" s="1">
        <v>3972</v>
      </c>
    </row>
    <row r="1568" spans="1:37" x14ac:dyDescent="0.2">
      <c r="A1568" s="1" t="s">
        <v>1906</v>
      </c>
      <c r="B1568" s="1">
        <v>21116278</v>
      </c>
      <c r="C1568" s="1" t="s">
        <v>7420</v>
      </c>
      <c r="E1568" s="21">
        <v>65</v>
      </c>
      <c r="G1568" s="1" t="s">
        <v>6873</v>
      </c>
      <c r="H1568" s="1" t="s">
        <v>7210</v>
      </c>
      <c r="I1568" s="5">
        <v>40512</v>
      </c>
      <c r="J1568" s="18" t="s">
        <v>11</v>
      </c>
      <c r="K1568" s="1" t="s">
        <v>71</v>
      </c>
      <c r="L1568" s="1" t="s">
        <v>1905</v>
      </c>
      <c r="M1568" s="5"/>
      <c r="N1568" s="5" t="s">
        <v>10</v>
      </c>
      <c r="O1568" s="5" t="s">
        <v>10</v>
      </c>
      <c r="P1568" s="1" t="s">
        <v>6239</v>
      </c>
      <c r="Q1568" s="1" t="s">
        <v>33</v>
      </c>
      <c r="R1568" s="2" t="s">
        <v>4864</v>
      </c>
      <c r="S1568" s="1" t="s">
        <v>6243</v>
      </c>
      <c r="T1568" s="1">
        <v>954</v>
      </c>
      <c r="U1568" s="1">
        <v>954</v>
      </c>
      <c r="V1568" s="1">
        <v>954</v>
      </c>
    </row>
    <row r="1569" spans="1:37" x14ac:dyDescent="0.2">
      <c r="A1569" s="1" t="s">
        <v>1515</v>
      </c>
      <c r="B1569" s="1">
        <v>21118971</v>
      </c>
      <c r="C1569" s="1" t="s">
        <v>7420</v>
      </c>
      <c r="E1569" s="21">
        <v>38</v>
      </c>
      <c r="G1569" s="1" t="s">
        <v>2009</v>
      </c>
      <c r="H1569" s="1" t="s">
        <v>1809</v>
      </c>
      <c r="I1569" s="5">
        <v>40512</v>
      </c>
      <c r="J1569" s="18" t="s">
        <v>11</v>
      </c>
      <c r="K1569" s="1" t="s">
        <v>662</v>
      </c>
      <c r="L1569" s="1" t="s">
        <v>2006</v>
      </c>
      <c r="M1569" s="5"/>
      <c r="N1569" s="5" t="s">
        <v>10</v>
      </c>
      <c r="O1569" s="5" t="s">
        <v>10</v>
      </c>
      <c r="P1569" s="1" t="s">
        <v>2007</v>
      </c>
      <c r="Q1569" s="1" t="s">
        <v>2008</v>
      </c>
      <c r="R1569" s="2" t="s">
        <v>4574</v>
      </c>
      <c r="S1569" s="1" t="s">
        <v>6242</v>
      </c>
      <c r="T1569" s="1">
        <v>550</v>
      </c>
      <c r="U1569" s="1">
        <v>245</v>
      </c>
      <c r="X1569" s="1">
        <v>245</v>
      </c>
      <c r="AH1569" s="1">
        <v>305</v>
      </c>
      <c r="AK1569" s="1">
        <v>305</v>
      </c>
    </row>
    <row r="1570" spans="1:37" x14ac:dyDescent="0.2">
      <c r="A1570" s="1" t="s">
        <v>1135</v>
      </c>
      <c r="B1570" s="1">
        <v>21123754</v>
      </c>
      <c r="C1570" s="1" t="s">
        <v>7420</v>
      </c>
      <c r="D1570" s="1">
        <v>1</v>
      </c>
      <c r="E1570" s="21">
        <v>0</v>
      </c>
      <c r="G1570" s="1" t="s">
        <v>6801</v>
      </c>
      <c r="H1570" s="1" t="s">
        <v>7210</v>
      </c>
      <c r="I1570" s="5">
        <v>40513</v>
      </c>
      <c r="J1570" s="18" t="s">
        <v>11</v>
      </c>
      <c r="K1570" s="1" t="s">
        <v>1989</v>
      </c>
      <c r="L1570" s="1" t="s">
        <v>1990</v>
      </c>
      <c r="M1570" s="5"/>
      <c r="N1570" s="5" t="s">
        <v>10</v>
      </c>
      <c r="O1570" s="5" t="s">
        <v>10</v>
      </c>
      <c r="P1570" s="1" t="s">
        <v>5602</v>
      </c>
      <c r="Q1570" s="1" t="s">
        <v>33</v>
      </c>
      <c r="R1570" s="2" t="s">
        <v>4232</v>
      </c>
      <c r="S1570" s="1" t="s">
        <v>6243</v>
      </c>
      <c r="T1570" s="1">
        <v>374</v>
      </c>
      <c r="U1570" s="1">
        <v>374</v>
      </c>
      <c r="V1570" s="1">
        <v>374</v>
      </c>
    </row>
    <row r="1571" spans="1:37" x14ac:dyDescent="0.2">
      <c r="A1571" s="1" t="s">
        <v>1543</v>
      </c>
      <c r="B1571" s="1">
        <v>21124317</v>
      </c>
      <c r="C1571" s="1" t="s">
        <v>7420</v>
      </c>
      <c r="E1571" s="21">
        <v>30438</v>
      </c>
      <c r="G1571" s="1" t="s">
        <v>435</v>
      </c>
      <c r="H1571" s="1" t="s">
        <v>436</v>
      </c>
      <c r="I1571" s="5">
        <v>40513</v>
      </c>
      <c r="J1571" s="18" t="s">
        <v>11</v>
      </c>
      <c r="K1571" s="1" t="s">
        <v>58</v>
      </c>
      <c r="L1571" s="1" t="s">
        <v>1988</v>
      </c>
      <c r="M1571" s="5"/>
      <c r="N1571" s="5" t="s">
        <v>10</v>
      </c>
      <c r="O1571" s="5" t="s">
        <v>10</v>
      </c>
      <c r="P1571" s="1" t="s">
        <v>5082</v>
      </c>
      <c r="Q1571" s="1" t="s">
        <v>5083</v>
      </c>
      <c r="R1571" s="2" t="s">
        <v>4972</v>
      </c>
      <c r="S1571" s="1" t="s">
        <v>6243</v>
      </c>
      <c r="T1571" s="1">
        <v>8348</v>
      </c>
      <c r="U1571" s="1">
        <v>4881</v>
      </c>
      <c r="V1571" s="1">
        <v>4881</v>
      </c>
      <c r="AH1571" s="1">
        <v>3467</v>
      </c>
      <c r="AI1571" s="1">
        <v>3467</v>
      </c>
    </row>
    <row r="1572" spans="1:37" x14ac:dyDescent="0.2">
      <c r="A1572" s="1" t="s">
        <v>1987</v>
      </c>
      <c r="B1572" s="1">
        <v>21124946</v>
      </c>
      <c r="C1572" s="1" t="s">
        <v>7420</v>
      </c>
      <c r="E1572" s="21">
        <v>126</v>
      </c>
      <c r="G1572" s="1" t="s">
        <v>7021</v>
      </c>
      <c r="H1572" s="1" t="s">
        <v>7235</v>
      </c>
      <c r="I1572" s="5">
        <v>40500</v>
      </c>
      <c r="J1572" s="18" t="s">
        <v>11</v>
      </c>
      <c r="K1572" s="1" t="s">
        <v>65</v>
      </c>
      <c r="L1572" s="1" t="s">
        <v>1986</v>
      </c>
      <c r="M1572" s="5"/>
      <c r="N1572" s="5" t="s">
        <v>11</v>
      </c>
      <c r="O1572" s="5" t="s">
        <v>11</v>
      </c>
      <c r="P1572" s="1" t="s">
        <v>5624</v>
      </c>
      <c r="Q1572" s="1" t="s">
        <v>5625</v>
      </c>
      <c r="R1572" s="2" t="s">
        <v>4730</v>
      </c>
      <c r="S1572" s="1" t="s">
        <v>6243</v>
      </c>
      <c r="T1572" s="1">
        <v>5775</v>
      </c>
      <c r="U1572" s="1">
        <v>1934</v>
      </c>
      <c r="V1572" s="1">
        <v>1934</v>
      </c>
      <c r="AH1572" s="1">
        <v>3841</v>
      </c>
      <c r="AI1572" s="1">
        <v>3841</v>
      </c>
    </row>
    <row r="1573" spans="1:37" x14ac:dyDescent="0.2">
      <c r="A1573" s="1" t="s">
        <v>2026</v>
      </c>
      <c r="B1573" s="1">
        <v>21124955</v>
      </c>
      <c r="C1573" s="1" t="s">
        <v>7420</v>
      </c>
      <c r="E1573" s="21">
        <v>90</v>
      </c>
      <c r="G1573" s="1" t="s">
        <v>6724</v>
      </c>
      <c r="H1573" s="1" t="s">
        <v>7211</v>
      </c>
      <c r="I1573" s="5">
        <v>40500</v>
      </c>
      <c r="J1573" s="18" t="s">
        <v>11</v>
      </c>
      <c r="K1573" s="1" t="s">
        <v>65</v>
      </c>
      <c r="L1573" s="1" t="s">
        <v>2025</v>
      </c>
      <c r="M1573" s="5"/>
      <c r="N1573" s="5" t="s">
        <v>10</v>
      </c>
      <c r="O1573" s="5" t="s">
        <v>10</v>
      </c>
      <c r="P1573" s="1" t="s">
        <v>5275</v>
      </c>
      <c r="Q1573" s="1" t="s">
        <v>5276</v>
      </c>
      <c r="R1573" s="2" t="s">
        <v>4371</v>
      </c>
      <c r="S1573" s="1" t="s">
        <v>6243</v>
      </c>
      <c r="T1573" s="1">
        <v>6348</v>
      </c>
      <c r="U1573" s="1">
        <v>4212</v>
      </c>
      <c r="V1573" s="1">
        <v>4212</v>
      </c>
      <c r="AH1573" s="1">
        <v>2136</v>
      </c>
      <c r="AI1573" s="1">
        <v>2136</v>
      </c>
    </row>
    <row r="1574" spans="1:37" x14ac:dyDescent="0.2">
      <c r="A1574" s="1" t="s">
        <v>1991</v>
      </c>
      <c r="B1574" s="1">
        <v>21129726</v>
      </c>
      <c r="C1574" s="1" t="s">
        <v>7420</v>
      </c>
      <c r="E1574" s="21">
        <v>97</v>
      </c>
      <c r="F1574" s="17">
        <v>1</v>
      </c>
      <c r="G1574" s="1" t="s">
        <v>1992</v>
      </c>
      <c r="H1574" s="1" t="s">
        <v>7363</v>
      </c>
      <c r="I1574" s="5">
        <v>40522</v>
      </c>
      <c r="J1574" s="18" t="s">
        <v>10</v>
      </c>
      <c r="K1574" s="1" t="s">
        <v>16</v>
      </c>
      <c r="L1574" s="1" t="s">
        <v>2913</v>
      </c>
      <c r="M1574" s="5"/>
      <c r="N1574" s="5" t="s">
        <v>10</v>
      </c>
      <c r="O1574" s="5" t="s">
        <v>10</v>
      </c>
      <c r="P1574" s="2" t="s">
        <v>5332</v>
      </c>
      <c r="Q1574" s="1" t="s">
        <v>3347</v>
      </c>
      <c r="R1574" s="10" t="s">
        <v>5945</v>
      </c>
      <c r="S1574" s="1" t="s">
        <v>6243</v>
      </c>
      <c r="T1574" s="1">
        <v>503</v>
      </c>
      <c r="U1574" s="1">
        <v>163</v>
      </c>
      <c r="V1574" s="1">
        <v>163</v>
      </c>
      <c r="AH1574" s="1">
        <v>340</v>
      </c>
      <c r="AI1574" s="1">
        <v>340</v>
      </c>
    </row>
    <row r="1575" spans="1:37" x14ac:dyDescent="0.2">
      <c r="A1575" s="1" t="s">
        <v>1668</v>
      </c>
      <c r="B1575" s="1">
        <v>21130132</v>
      </c>
      <c r="C1575" s="1" t="s">
        <v>7420</v>
      </c>
      <c r="E1575" s="21">
        <v>51</v>
      </c>
      <c r="G1575" s="1" t="s">
        <v>2099</v>
      </c>
      <c r="H1575" s="1" t="s">
        <v>7128</v>
      </c>
      <c r="I1575" s="5">
        <v>40514</v>
      </c>
      <c r="J1575" s="18" t="s">
        <v>11</v>
      </c>
      <c r="K1575" s="1" t="s">
        <v>2097</v>
      </c>
      <c r="L1575" s="1" t="s">
        <v>2098</v>
      </c>
      <c r="M1575" s="5"/>
      <c r="N1575" s="5" t="s">
        <v>10</v>
      </c>
      <c r="O1575" s="5" t="s">
        <v>10</v>
      </c>
      <c r="P1575" s="1" t="s">
        <v>6351</v>
      </c>
      <c r="Q1575" s="1" t="s">
        <v>6098</v>
      </c>
      <c r="R1575" s="2" t="s">
        <v>4656</v>
      </c>
      <c r="S1575" s="1" t="s">
        <v>6243</v>
      </c>
      <c r="T1575" s="1">
        <v>140</v>
      </c>
      <c r="U1575" s="1">
        <v>140</v>
      </c>
      <c r="V1575" s="1">
        <v>140</v>
      </c>
    </row>
    <row r="1576" spans="1:37" x14ac:dyDescent="0.2">
      <c r="A1576" s="1" t="s">
        <v>2090</v>
      </c>
      <c r="B1576" s="1">
        <v>21130836</v>
      </c>
      <c r="C1576" s="1" t="s">
        <v>7420</v>
      </c>
      <c r="E1576" s="21">
        <v>804</v>
      </c>
      <c r="G1576" s="1" t="s">
        <v>7086</v>
      </c>
      <c r="H1576" s="1" t="s">
        <v>40</v>
      </c>
      <c r="I1576" s="5">
        <v>40515</v>
      </c>
      <c r="J1576" s="18" t="s">
        <v>11</v>
      </c>
      <c r="K1576" s="1" t="s">
        <v>1670</v>
      </c>
      <c r="L1576" s="1" t="s">
        <v>2089</v>
      </c>
      <c r="M1576" s="5"/>
      <c r="N1576" s="5" t="s">
        <v>10</v>
      </c>
      <c r="O1576" s="5" t="s">
        <v>10</v>
      </c>
      <c r="P1576" s="1" t="s">
        <v>6213</v>
      </c>
      <c r="Q1576" s="1" t="s">
        <v>33</v>
      </c>
      <c r="R1576" s="2" t="s">
        <v>4973</v>
      </c>
      <c r="S1576" s="1" t="s">
        <v>6243</v>
      </c>
      <c r="T1576" s="1">
        <v>4033</v>
      </c>
      <c r="U1576" s="1">
        <v>4033</v>
      </c>
      <c r="V1576" s="1">
        <v>4033</v>
      </c>
    </row>
    <row r="1577" spans="1:37" x14ac:dyDescent="0.2">
      <c r="A1577" s="1" t="s">
        <v>1985</v>
      </c>
      <c r="B1577" s="1">
        <v>21131588</v>
      </c>
      <c r="C1577" s="1" t="s">
        <v>7420</v>
      </c>
      <c r="E1577" s="21">
        <v>51</v>
      </c>
      <c r="G1577" s="1" t="s">
        <v>6790</v>
      </c>
      <c r="H1577" s="1" t="s">
        <v>6672</v>
      </c>
      <c r="I1577" s="5">
        <v>40515</v>
      </c>
      <c r="J1577" s="18" t="s">
        <v>11</v>
      </c>
      <c r="K1577" s="1" t="s">
        <v>455</v>
      </c>
      <c r="L1577" s="1" t="s">
        <v>1984</v>
      </c>
      <c r="M1577" s="5"/>
      <c r="N1577" s="5" t="s">
        <v>10</v>
      </c>
      <c r="O1577" s="5" t="s">
        <v>10</v>
      </c>
      <c r="P1577" s="1" t="s">
        <v>6146</v>
      </c>
      <c r="Q1577" s="1" t="s">
        <v>6147</v>
      </c>
      <c r="R1577" s="2" t="s">
        <v>4754</v>
      </c>
      <c r="S1577" s="1" t="s">
        <v>6243</v>
      </c>
      <c r="T1577" s="1">
        <v>1920</v>
      </c>
      <c r="U1577" s="1">
        <v>703</v>
      </c>
      <c r="V1577" s="1">
        <v>703</v>
      </c>
      <c r="AH1577" s="1">
        <v>1217</v>
      </c>
      <c r="AI1577" s="1">
        <v>1217</v>
      </c>
    </row>
    <row r="1578" spans="1:37" x14ac:dyDescent="0.2">
      <c r="A1578" s="1" t="s">
        <v>2086</v>
      </c>
      <c r="B1578" s="1">
        <v>21131975</v>
      </c>
      <c r="C1578" s="1" t="s">
        <v>7420</v>
      </c>
      <c r="E1578" s="21">
        <v>1957</v>
      </c>
      <c r="G1578" s="1" t="s">
        <v>2087</v>
      </c>
      <c r="H1578" s="1" t="s">
        <v>2088</v>
      </c>
      <c r="I1578" s="5">
        <v>40517</v>
      </c>
      <c r="J1578" s="18" t="s">
        <v>11</v>
      </c>
      <c r="K1578" s="1" t="s">
        <v>28</v>
      </c>
      <c r="L1578" s="1" t="s">
        <v>2085</v>
      </c>
      <c r="M1578" s="5"/>
      <c r="N1578" s="5" t="s">
        <v>10</v>
      </c>
      <c r="O1578" s="5" t="s">
        <v>10</v>
      </c>
      <c r="P1578" s="1" t="s">
        <v>5549</v>
      </c>
      <c r="Q1578" s="1" t="s">
        <v>6352</v>
      </c>
      <c r="R1578" s="2" t="s">
        <v>4672</v>
      </c>
      <c r="S1578" s="1" t="s">
        <v>6243</v>
      </c>
      <c r="T1578" s="1">
        <v>19393</v>
      </c>
      <c r="U1578" s="1">
        <v>12277</v>
      </c>
      <c r="V1578" s="1">
        <v>12277</v>
      </c>
      <c r="AH1578" s="1">
        <v>7116</v>
      </c>
      <c r="AI1578" s="1">
        <v>7116</v>
      </c>
    </row>
    <row r="1579" spans="1:37" x14ac:dyDescent="0.2">
      <c r="A1579" s="1" t="s">
        <v>2082</v>
      </c>
      <c r="B1579" s="1">
        <v>21139019</v>
      </c>
      <c r="C1579" s="1" t="s">
        <v>7420</v>
      </c>
      <c r="D1579" s="1" t="s">
        <v>7411</v>
      </c>
      <c r="E1579" s="21">
        <v>1</v>
      </c>
      <c r="G1579" s="1" t="s">
        <v>2083</v>
      </c>
      <c r="H1579" s="1" t="s">
        <v>2084</v>
      </c>
      <c r="I1579" s="5">
        <v>40519</v>
      </c>
      <c r="J1579" s="18" t="s">
        <v>11</v>
      </c>
      <c r="K1579" s="1" t="s">
        <v>2080</v>
      </c>
      <c r="L1579" s="1" t="s">
        <v>2081</v>
      </c>
      <c r="M1579" s="5"/>
      <c r="N1579" s="5" t="s">
        <v>10</v>
      </c>
      <c r="O1579" s="5" t="s">
        <v>10</v>
      </c>
      <c r="P1579" s="1" t="s">
        <v>5210</v>
      </c>
      <c r="Q1579" s="1" t="s">
        <v>33</v>
      </c>
      <c r="R1579" s="2" t="s">
        <v>4831</v>
      </c>
      <c r="S1579" s="1" t="s">
        <v>6243</v>
      </c>
      <c r="T1579" s="1">
        <v>346</v>
      </c>
      <c r="U1579" s="1">
        <v>346</v>
      </c>
      <c r="V1579" s="1">
        <v>346</v>
      </c>
    </row>
    <row r="1580" spans="1:37" x14ac:dyDescent="0.2">
      <c r="A1580" s="1" t="s">
        <v>3081</v>
      </c>
      <c r="B1580" s="1">
        <v>21147911</v>
      </c>
      <c r="C1580" s="1" t="s">
        <v>7420</v>
      </c>
      <c r="E1580" s="21">
        <v>255</v>
      </c>
      <c r="F1580" s="17">
        <v>1</v>
      </c>
      <c r="G1580" s="1" t="s">
        <v>7009</v>
      </c>
      <c r="H1580" s="1" t="s">
        <v>7370</v>
      </c>
      <c r="I1580" s="5">
        <v>40520</v>
      </c>
      <c r="J1580" s="18" t="s">
        <v>10</v>
      </c>
      <c r="K1580" s="15" t="s">
        <v>1817</v>
      </c>
      <c r="L1580" s="15" t="s">
        <v>6503</v>
      </c>
      <c r="N1580" s="5" t="s">
        <v>10</v>
      </c>
      <c r="O1580" s="5" t="s">
        <v>10</v>
      </c>
      <c r="P1580" s="9" t="s">
        <v>3335</v>
      </c>
      <c r="Q1580" s="1" t="s">
        <v>33</v>
      </c>
      <c r="R1580" s="2" t="s">
        <v>5715</v>
      </c>
      <c r="S1580" s="1" t="s">
        <v>6243</v>
      </c>
      <c r="T1580" s="1">
        <v>180</v>
      </c>
      <c r="U1580" s="1">
        <v>180</v>
      </c>
      <c r="V1580" s="1">
        <v>180</v>
      </c>
    </row>
    <row r="1581" spans="1:37" x14ac:dyDescent="0.2">
      <c r="A1581" s="1" t="s">
        <v>2005</v>
      </c>
      <c r="B1581" s="1">
        <v>21149283</v>
      </c>
      <c r="C1581" s="1" t="s">
        <v>7420</v>
      </c>
      <c r="E1581" s="21">
        <v>131</v>
      </c>
      <c r="G1581" s="1" t="s">
        <v>6955</v>
      </c>
      <c r="H1581" s="1" t="s">
        <v>7211</v>
      </c>
      <c r="I1581" s="5">
        <v>40522</v>
      </c>
      <c r="J1581" s="18" t="s">
        <v>11</v>
      </c>
      <c r="K1581" s="1" t="s">
        <v>103</v>
      </c>
      <c r="L1581" s="1" t="s">
        <v>2004</v>
      </c>
      <c r="M1581" s="5"/>
      <c r="N1581" s="5" t="s">
        <v>10</v>
      </c>
      <c r="O1581" s="5" t="s">
        <v>10</v>
      </c>
      <c r="P1581" s="1" t="s">
        <v>5492</v>
      </c>
      <c r="Q1581" s="1" t="s">
        <v>33</v>
      </c>
      <c r="R1581" s="2" t="s">
        <v>868</v>
      </c>
      <c r="S1581" s="1" t="s">
        <v>6243</v>
      </c>
      <c r="T1581" s="1">
        <v>6616</v>
      </c>
      <c r="U1581" s="1">
        <v>6616</v>
      </c>
      <c r="V1581" s="1">
        <v>6616</v>
      </c>
    </row>
    <row r="1582" spans="1:37" x14ac:dyDescent="0.2">
      <c r="A1582" s="1" t="s">
        <v>2002</v>
      </c>
      <c r="B1582" s="1">
        <v>21149285</v>
      </c>
      <c r="C1582" s="1" t="s">
        <v>7420</v>
      </c>
      <c r="E1582" s="21">
        <v>12</v>
      </c>
      <c r="G1582" s="1" t="s">
        <v>2003</v>
      </c>
      <c r="H1582" s="1" t="s">
        <v>7147</v>
      </c>
      <c r="I1582" s="5">
        <v>40522</v>
      </c>
      <c r="J1582" s="18" t="s">
        <v>11</v>
      </c>
      <c r="K1582" s="1" t="s">
        <v>103</v>
      </c>
      <c r="L1582" s="1" t="s">
        <v>1999</v>
      </c>
      <c r="M1582" s="5"/>
      <c r="N1582" s="5" t="s">
        <v>10</v>
      </c>
      <c r="O1582" s="5" t="s">
        <v>10</v>
      </c>
      <c r="P1582" s="1" t="s">
        <v>2000</v>
      </c>
      <c r="Q1582" s="1" t="s">
        <v>2001</v>
      </c>
      <c r="R1582" s="2" t="s">
        <v>4483</v>
      </c>
      <c r="S1582" s="1" t="s">
        <v>6242</v>
      </c>
      <c r="T1582" s="1">
        <v>996</v>
      </c>
      <c r="U1582" s="1">
        <v>936</v>
      </c>
      <c r="X1582" s="1">
        <v>936</v>
      </c>
      <c r="AH1582" s="1">
        <v>60</v>
      </c>
      <c r="AK1582" s="1">
        <v>60</v>
      </c>
    </row>
    <row r="1583" spans="1:37" x14ac:dyDescent="0.2">
      <c r="A1583" s="1" t="s">
        <v>2079</v>
      </c>
      <c r="B1583" s="1">
        <v>21150874</v>
      </c>
      <c r="C1583" s="1" t="s">
        <v>7420</v>
      </c>
      <c r="E1583" s="21">
        <v>991</v>
      </c>
      <c r="G1583" s="1" t="s">
        <v>6876</v>
      </c>
      <c r="H1583" s="1" t="s">
        <v>7390</v>
      </c>
      <c r="I1583" s="5">
        <v>40520</v>
      </c>
      <c r="J1583" s="18" t="s">
        <v>11</v>
      </c>
      <c r="K1583" s="1" t="s">
        <v>1697</v>
      </c>
      <c r="L1583" s="1" t="s">
        <v>2077</v>
      </c>
      <c r="M1583" s="5"/>
      <c r="N1583" s="5" t="s">
        <v>10</v>
      </c>
      <c r="O1583" s="5" t="s">
        <v>10</v>
      </c>
      <c r="P1583" s="1" t="s">
        <v>4122</v>
      </c>
      <c r="Q1583" s="1" t="s">
        <v>2078</v>
      </c>
      <c r="R1583" s="2" t="s">
        <v>4256</v>
      </c>
      <c r="S1583" s="1" t="s">
        <v>6440</v>
      </c>
      <c r="T1583" s="1">
        <v>3393</v>
      </c>
      <c r="U1583" s="1">
        <v>1994</v>
      </c>
      <c r="W1583" s="1">
        <v>1994</v>
      </c>
      <c r="AH1583" s="1">
        <v>1399</v>
      </c>
      <c r="AJ1583" s="1">
        <v>1399</v>
      </c>
    </row>
    <row r="1584" spans="1:37" x14ac:dyDescent="0.2">
      <c r="A1584" s="1" t="s">
        <v>1666</v>
      </c>
      <c r="B1584" s="1">
        <v>21150878</v>
      </c>
      <c r="C1584" s="1" t="s">
        <v>7420</v>
      </c>
      <c r="E1584" s="21">
        <v>70</v>
      </c>
      <c r="G1584" s="1" t="s">
        <v>799</v>
      </c>
      <c r="H1584" s="1" t="s">
        <v>7052</v>
      </c>
      <c r="I1584" s="5">
        <v>40520</v>
      </c>
      <c r="J1584" s="18" t="s">
        <v>11</v>
      </c>
      <c r="K1584" s="1" t="s">
        <v>592</v>
      </c>
      <c r="L1584" s="1" t="s">
        <v>2075</v>
      </c>
      <c r="M1584" s="5"/>
      <c r="N1584" s="5" t="s">
        <v>10</v>
      </c>
      <c r="O1584" s="5" t="s">
        <v>10</v>
      </c>
      <c r="P1584" s="1" t="s">
        <v>5582</v>
      </c>
      <c r="Q1584" s="1" t="s">
        <v>5583</v>
      </c>
      <c r="R1584" s="2" t="s">
        <v>2076</v>
      </c>
      <c r="S1584" s="1" t="s">
        <v>6243</v>
      </c>
      <c r="T1584" s="1">
        <v>3436</v>
      </c>
      <c r="U1584" s="1">
        <v>2832</v>
      </c>
      <c r="V1584" s="1">
        <v>2832</v>
      </c>
      <c r="AH1584" s="1">
        <v>604</v>
      </c>
      <c r="AI1584" s="1">
        <v>604</v>
      </c>
    </row>
    <row r="1585" spans="1:44" x14ac:dyDescent="0.2">
      <c r="A1585" s="1" t="s">
        <v>2074</v>
      </c>
      <c r="B1585" s="1">
        <v>21151127</v>
      </c>
      <c r="C1585" s="1" t="s">
        <v>7420</v>
      </c>
      <c r="E1585" s="21">
        <v>24</v>
      </c>
      <c r="G1585" s="1" t="s">
        <v>1192</v>
      </c>
      <c r="H1585" s="1" t="s">
        <v>897</v>
      </c>
      <c r="I1585" s="5">
        <v>40524</v>
      </c>
      <c r="J1585" s="18" t="s">
        <v>11</v>
      </c>
      <c r="K1585" s="1" t="s">
        <v>28</v>
      </c>
      <c r="L1585" s="1" t="s">
        <v>2073</v>
      </c>
      <c r="M1585" s="5"/>
      <c r="N1585" s="5" t="s">
        <v>10</v>
      </c>
      <c r="O1585" s="5" t="s">
        <v>10</v>
      </c>
      <c r="P1585" s="1" t="s">
        <v>4229</v>
      </c>
      <c r="Q1585" s="1" t="s">
        <v>6280</v>
      </c>
      <c r="R1585" s="2" t="s">
        <v>4673</v>
      </c>
      <c r="S1585" s="1" t="s">
        <v>6243</v>
      </c>
      <c r="T1585" s="1">
        <v>6539</v>
      </c>
      <c r="U1585" s="1">
        <v>3677</v>
      </c>
      <c r="V1585" s="1">
        <v>3677</v>
      </c>
      <c r="AH1585" s="1">
        <v>2862</v>
      </c>
      <c r="AI1585" s="1">
        <v>2862</v>
      </c>
    </row>
    <row r="1586" spans="1:44" x14ac:dyDescent="0.2">
      <c r="A1586" s="1" t="s">
        <v>1431</v>
      </c>
      <c r="B1586" s="1">
        <v>21151128</v>
      </c>
      <c r="C1586" s="1" t="s">
        <v>7420</v>
      </c>
      <c r="E1586" s="21">
        <v>119</v>
      </c>
      <c r="G1586" s="1" t="s">
        <v>1998</v>
      </c>
      <c r="H1586" s="1" t="s">
        <v>6687</v>
      </c>
      <c r="I1586" s="5">
        <v>40524</v>
      </c>
      <c r="J1586" s="18" t="s">
        <v>11</v>
      </c>
      <c r="K1586" s="1" t="s">
        <v>28</v>
      </c>
      <c r="L1586" s="1" t="s">
        <v>1996</v>
      </c>
      <c r="M1586" s="5"/>
      <c r="N1586" s="5" t="s">
        <v>11</v>
      </c>
      <c r="O1586" s="5" t="s">
        <v>11</v>
      </c>
      <c r="P1586" s="1" t="s">
        <v>1997</v>
      </c>
      <c r="Q1586" s="1" t="s">
        <v>4597</v>
      </c>
      <c r="R1586" s="2" t="s">
        <v>4105</v>
      </c>
      <c r="S1586" s="1" t="s">
        <v>6242</v>
      </c>
      <c r="T1586" s="1">
        <v>10769</v>
      </c>
      <c r="U1586" s="1">
        <v>1639</v>
      </c>
      <c r="X1586" s="1">
        <v>1639</v>
      </c>
      <c r="AH1586" s="1">
        <v>9130</v>
      </c>
      <c r="AK1586" s="1">
        <v>9130</v>
      </c>
    </row>
    <row r="1587" spans="1:44" x14ac:dyDescent="0.2">
      <c r="A1587" s="1" t="s">
        <v>1995</v>
      </c>
      <c r="B1587" s="1">
        <v>21151130</v>
      </c>
      <c r="C1587" s="1" t="s">
        <v>7420</v>
      </c>
      <c r="E1587" s="21">
        <v>236</v>
      </c>
      <c r="G1587" s="1" t="s">
        <v>1608</v>
      </c>
      <c r="H1587" s="1" t="s">
        <v>7032</v>
      </c>
      <c r="I1587" s="5">
        <v>40524</v>
      </c>
      <c r="J1587" s="18" t="s">
        <v>11</v>
      </c>
      <c r="K1587" s="1" t="s">
        <v>28</v>
      </c>
      <c r="L1587" s="1" t="s">
        <v>1994</v>
      </c>
      <c r="M1587" s="5"/>
      <c r="N1587" s="5" t="s">
        <v>11</v>
      </c>
      <c r="O1587" s="5" t="s">
        <v>11</v>
      </c>
      <c r="P1587" s="1" t="s">
        <v>5230</v>
      </c>
      <c r="Q1587" s="1" t="s">
        <v>6281</v>
      </c>
      <c r="R1587" s="2" t="s">
        <v>4454</v>
      </c>
      <c r="S1587" s="1" t="s">
        <v>6243</v>
      </c>
      <c r="T1587" s="1">
        <v>14917</v>
      </c>
      <c r="U1587" s="1">
        <v>10254</v>
      </c>
      <c r="V1587" s="1">
        <v>10254</v>
      </c>
      <c r="AH1587" s="1">
        <v>4663</v>
      </c>
      <c r="AI1587" s="1">
        <v>4663</v>
      </c>
    </row>
    <row r="1588" spans="1:44" x14ac:dyDescent="0.2">
      <c r="A1588" s="1" t="s">
        <v>1504</v>
      </c>
      <c r="B1588" s="1">
        <v>21151189</v>
      </c>
      <c r="C1588" s="1" t="s">
        <v>7420</v>
      </c>
      <c r="D1588" s="1" t="s">
        <v>7411</v>
      </c>
      <c r="E1588" s="21">
        <v>2</v>
      </c>
      <c r="G1588" s="1" t="s">
        <v>7010</v>
      </c>
      <c r="H1588" s="1" t="s">
        <v>7011</v>
      </c>
      <c r="I1588" s="5">
        <v>40526</v>
      </c>
      <c r="J1588" s="18" t="s">
        <v>10</v>
      </c>
      <c r="K1588" s="1" t="s">
        <v>71</v>
      </c>
      <c r="L1588" s="1" t="s">
        <v>2914</v>
      </c>
      <c r="M1588" s="5"/>
      <c r="N1588" s="5" t="s">
        <v>11</v>
      </c>
      <c r="O1588" s="5" t="s">
        <v>10</v>
      </c>
      <c r="P1588" s="1" t="s">
        <v>3358</v>
      </c>
      <c r="Q1588" s="1" t="s">
        <v>33</v>
      </c>
      <c r="R1588" s="2" t="s">
        <v>5826</v>
      </c>
      <c r="S1588" s="1" t="s">
        <v>6248</v>
      </c>
      <c r="T1588" s="1">
        <v>990</v>
      </c>
      <c r="U1588" s="1">
        <v>990</v>
      </c>
      <c r="AE1588" s="1">
        <v>990</v>
      </c>
    </row>
    <row r="1589" spans="1:44" x14ac:dyDescent="0.2">
      <c r="A1589" s="1" t="s">
        <v>2441</v>
      </c>
      <c r="B1589" s="1">
        <v>21153663</v>
      </c>
      <c r="C1589" s="1" t="s">
        <v>7420</v>
      </c>
      <c r="E1589" s="21">
        <v>49</v>
      </c>
      <c r="G1589" s="1" t="s">
        <v>6775</v>
      </c>
      <c r="H1589" s="1" t="s">
        <v>7218</v>
      </c>
      <c r="I1589" s="5">
        <v>40524</v>
      </c>
      <c r="J1589" s="18" t="s">
        <v>10</v>
      </c>
      <c r="K1589" s="1" t="s">
        <v>595</v>
      </c>
      <c r="L1589" s="1" t="s">
        <v>2915</v>
      </c>
      <c r="M1589" s="5"/>
      <c r="N1589" s="5" t="s">
        <v>10</v>
      </c>
      <c r="O1589" s="5" t="s">
        <v>10</v>
      </c>
      <c r="P1589" s="1" t="s">
        <v>5469</v>
      </c>
      <c r="Q1589" s="1" t="s">
        <v>33</v>
      </c>
      <c r="R1589" s="2" t="s">
        <v>5958</v>
      </c>
      <c r="S1589" s="1" t="s">
        <v>6244</v>
      </c>
      <c r="T1589" s="1">
        <v>30551</v>
      </c>
      <c r="U1589" s="1">
        <v>30551</v>
      </c>
      <c r="V1589" s="1">
        <v>23439</v>
      </c>
      <c r="W1589" s="1">
        <v>7112</v>
      </c>
    </row>
    <row r="1590" spans="1:44" x14ac:dyDescent="0.2">
      <c r="A1590" s="1" t="s">
        <v>2139</v>
      </c>
      <c r="B1590" s="1">
        <v>21155030</v>
      </c>
      <c r="C1590" s="1" t="s">
        <v>7420</v>
      </c>
      <c r="D1590" s="1" t="s">
        <v>7411</v>
      </c>
      <c r="E1590" s="21">
        <v>2</v>
      </c>
      <c r="G1590" s="1" t="s">
        <v>64</v>
      </c>
      <c r="H1590" s="1" t="s">
        <v>7170</v>
      </c>
      <c r="I1590" s="5">
        <v>40544</v>
      </c>
      <c r="J1590" s="18" t="s">
        <v>11</v>
      </c>
      <c r="K1590" s="1" t="s">
        <v>2135</v>
      </c>
      <c r="L1590" s="1" t="s">
        <v>2136</v>
      </c>
      <c r="M1590" s="5"/>
      <c r="N1590" s="5" t="s">
        <v>10</v>
      </c>
      <c r="O1590" s="5" t="s">
        <v>10</v>
      </c>
      <c r="P1590" s="1" t="s">
        <v>2137</v>
      </c>
      <c r="Q1590" s="1" t="s">
        <v>2138</v>
      </c>
      <c r="R1590" s="2" t="s">
        <v>4988</v>
      </c>
      <c r="S1590" s="1" t="s">
        <v>6242</v>
      </c>
      <c r="T1590" s="1">
        <v>1260</v>
      </c>
      <c r="U1590" s="1">
        <v>320</v>
      </c>
      <c r="X1590" s="1">
        <v>320</v>
      </c>
      <c r="AH1590" s="1">
        <v>940</v>
      </c>
      <c r="AK1590" s="1">
        <v>940</v>
      </c>
    </row>
    <row r="1591" spans="1:44" x14ac:dyDescent="0.2">
      <c r="A1591" s="1" t="s">
        <v>1993</v>
      </c>
      <c r="B1591" s="1">
        <v>21156761</v>
      </c>
      <c r="C1591" s="1" t="s">
        <v>7420</v>
      </c>
      <c r="E1591" s="21">
        <v>1137</v>
      </c>
      <c r="G1591" s="1" t="s">
        <v>48</v>
      </c>
      <c r="H1591" s="1" t="s">
        <v>7340</v>
      </c>
      <c r="I1591" s="5">
        <v>40526</v>
      </c>
      <c r="J1591" s="18" t="s">
        <v>10</v>
      </c>
      <c r="K1591" s="1" t="s">
        <v>1944</v>
      </c>
      <c r="L1591" s="1" t="s">
        <v>2916</v>
      </c>
      <c r="M1591" s="5"/>
      <c r="N1591" s="5" t="s">
        <v>10</v>
      </c>
      <c r="O1591" s="5" t="s">
        <v>10</v>
      </c>
      <c r="P1591" s="1" t="s">
        <v>3391</v>
      </c>
      <c r="Q1591" s="1" t="s">
        <v>5114</v>
      </c>
      <c r="R1591" s="2" t="s">
        <v>5680</v>
      </c>
      <c r="S1591" s="1" t="s">
        <v>6243</v>
      </c>
      <c r="T1591" s="1">
        <v>9129</v>
      </c>
      <c r="U1591" s="1">
        <v>2226</v>
      </c>
      <c r="V1591" s="1">
        <v>2226</v>
      </c>
      <c r="AH1591" s="1">
        <v>6903</v>
      </c>
      <c r="AI1591" s="1">
        <v>6903</v>
      </c>
    </row>
    <row r="1592" spans="1:44" x14ac:dyDescent="0.2">
      <c r="A1592" s="1" t="s">
        <v>80</v>
      </c>
      <c r="B1592" s="1">
        <v>21160077</v>
      </c>
      <c r="C1592" s="1" t="s">
        <v>7420</v>
      </c>
      <c r="E1592" s="21">
        <v>87</v>
      </c>
      <c r="G1592" s="1" t="s">
        <v>6729</v>
      </c>
      <c r="H1592" s="1" t="s">
        <v>7309</v>
      </c>
      <c r="I1592" s="5">
        <v>40527</v>
      </c>
      <c r="J1592" s="18" t="s">
        <v>11</v>
      </c>
      <c r="K1592" s="1" t="s">
        <v>2067</v>
      </c>
      <c r="L1592" s="1" t="s">
        <v>2068</v>
      </c>
      <c r="M1592" s="5"/>
      <c r="N1592" s="5" t="s">
        <v>11</v>
      </c>
      <c r="O1592" s="5" t="s">
        <v>11</v>
      </c>
      <c r="P1592" s="1" t="s">
        <v>4564</v>
      </c>
      <c r="Q1592" s="1" t="s">
        <v>4028</v>
      </c>
      <c r="R1592" s="2" t="s">
        <v>4436</v>
      </c>
      <c r="S1592" s="1" t="s">
        <v>6243</v>
      </c>
      <c r="T1592" s="1">
        <v>18130</v>
      </c>
      <c r="U1592" s="1">
        <v>15757</v>
      </c>
      <c r="V1592" s="1">
        <v>15757</v>
      </c>
      <c r="AH1592" s="1">
        <v>2373</v>
      </c>
      <c r="AI1592" s="1">
        <v>2373</v>
      </c>
    </row>
    <row r="1593" spans="1:44" x14ac:dyDescent="0.2">
      <c r="A1593" s="1" t="s">
        <v>2071</v>
      </c>
      <c r="B1593" s="1">
        <v>21160409</v>
      </c>
      <c r="C1593" s="1" t="s">
        <v>7420</v>
      </c>
      <c r="E1593" s="21">
        <v>226</v>
      </c>
      <c r="G1593" s="1" t="s">
        <v>2072</v>
      </c>
      <c r="H1593" s="1" t="s">
        <v>7172</v>
      </c>
      <c r="I1593" s="5">
        <v>40527</v>
      </c>
      <c r="J1593" s="18" t="s">
        <v>11</v>
      </c>
      <c r="K1593" s="1" t="s">
        <v>1239</v>
      </c>
      <c r="L1593" s="1" t="s">
        <v>2069</v>
      </c>
      <c r="M1593" s="5"/>
      <c r="N1593" s="5" t="s">
        <v>10</v>
      </c>
      <c r="O1593" s="5" t="s">
        <v>10</v>
      </c>
      <c r="P1593" s="1" t="s">
        <v>2070</v>
      </c>
      <c r="Q1593" s="1" t="s">
        <v>33</v>
      </c>
      <c r="R1593" s="2" t="s">
        <v>5030</v>
      </c>
      <c r="S1593" s="1" t="s">
        <v>6440</v>
      </c>
      <c r="T1593" s="1">
        <v>1379</v>
      </c>
      <c r="U1593" s="1">
        <v>1379</v>
      </c>
      <c r="W1593" s="1">
        <v>1379</v>
      </c>
    </row>
    <row r="1594" spans="1:44" x14ac:dyDescent="0.2">
      <c r="A1594" s="1" t="s">
        <v>2012</v>
      </c>
      <c r="B1594" s="1">
        <v>21173776</v>
      </c>
      <c r="C1594" s="1" t="s">
        <v>7420</v>
      </c>
      <c r="E1594" s="21">
        <v>262</v>
      </c>
      <c r="G1594" s="1" t="s">
        <v>2439</v>
      </c>
      <c r="H1594" s="1" t="s">
        <v>179</v>
      </c>
      <c r="I1594" s="5">
        <v>40533</v>
      </c>
      <c r="J1594" s="18" t="s">
        <v>11</v>
      </c>
      <c r="K1594" s="1" t="s">
        <v>71</v>
      </c>
      <c r="L1594" s="1" t="s">
        <v>2010</v>
      </c>
      <c r="M1594" s="5"/>
      <c r="N1594" s="5" t="s">
        <v>10</v>
      </c>
      <c r="O1594" s="5" t="s">
        <v>10</v>
      </c>
      <c r="P1594" s="1" t="s">
        <v>5138</v>
      </c>
      <c r="Q1594" s="1" t="s">
        <v>5139</v>
      </c>
      <c r="R1594" s="2" t="s">
        <v>2011</v>
      </c>
      <c r="S1594" s="1" t="s">
        <v>6243</v>
      </c>
      <c r="T1594" s="1">
        <v>20669</v>
      </c>
      <c r="U1594" s="1">
        <v>17375</v>
      </c>
      <c r="V1594" s="1">
        <v>17375</v>
      </c>
      <c r="AH1594" s="1">
        <v>3294</v>
      </c>
      <c r="AI1594" s="1">
        <v>3294</v>
      </c>
    </row>
    <row r="1595" spans="1:44" x14ac:dyDescent="0.2">
      <c r="A1595" s="1" t="s">
        <v>2019</v>
      </c>
      <c r="B1595" s="1">
        <v>21177295</v>
      </c>
      <c r="C1595" s="1" t="s">
        <v>7420</v>
      </c>
      <c r="E1595" s="21">
        <v>371</v>
      </c>
      <c r="G1595" s="1" t="s">
        <v>6891</v>
      </c>
      <c r="H1595" s="1" t="s">
        <v>430</v>
      </c>
      <c r="I1595" s="5">
        <v>40533</v>
      </c>
      <c r="J1595" s="18" t="s">
        <v>11</v>
      </c>
      <c r="K1595" s="1" t="s">
        <v>1944</v>
      </c>
      <c r="L1595" s="1" t="s">
        <v>2018</v>
      </c>
      <c r="M1595" s="5"/>
      <c r="N1595" s="5" t="s">
        <v>10</v>
      </c>
      <c r="O1595" s="5" t="s">
        <v>10</v>
      </c>
      <c r="P1595" s="1" t="s">
        <v>5539</v>
      </c>
      <c r="Q1595" s="1" t="s">
        <v>5540</v>
      </c>
      <c r="R1595" s="2" t="s">
        <v>4453</v>
      </c>
      <c r="S1595" s="1" t="s">
        <v>6243</v>
      </c>
      <c r="T1595" s="1">
        <v>66988</v>
      </c>
      <c r="U1595" s="1">
        <v>8071</v>
      </c>
      <c r="V1595" s="1">
        <v>8071</v>
      </c>
      <c r="AH1595" s="1">
        <v>58917</v>
      </c>
      <c r="AI1595" s="1">
        <v>58917</v>
      </c>
    </row>
    <row r="1596" spans="1:44" x14ac:dyDescent="0.2">
      <c r="A1596" s="1" t="s">
        <v>2066</v>
      </c>
      <c r="B1596" s="1">
        <v>21177773</v>
      </c>
      <c r="C1596" s="1" t="s">
        <v>7420</v>
      </c>
      <c r="E1596" s="21">
        <v>129</v>
      </c>
      <c r="G1596" s="1" t="s">
        <v>6984</v>
      </c>
      <c r="H1596" s="1" t="s">
        <v>6985</v>
      </c>
      <c r="I1596" s="5">
        <v>40534</v>
      </c>
      <c r="J1596" s="18" t="s">
        <v>11</v>
      </c>
      <c r="K1596" s="1" t="s">
        <v>2064</v>
      </c>
      <c r="L1596" s="1" t="s">
        <v>2065</v>
      </c>
      <c r="M1596" s="5"/>
      <c r="N1596" s="5" t="s">
        <v>10</v>
      </c>
      <c r="O1596" s="5" t="s">
        <v>10</v>
      </c>
      <c r="P1596" s="1" t="s">
        <v>6108</v>
      </c>
      <c r="Q1596" s="1" t="s">
        <v>33</v>
      </c>
      <c r="R1596" s="2" t="s">
        <v>4842</v>
      </c>
      <c r="S1596" s="1" t="s">
        <v>6244</v>
      </c>
      <c r="T1596" s="1">
        <v>176</v>
      </c>
      <c r="U1596" s="1">
        <v>176</v>
      </c>
      <c r="V1596" s="1">
        <v>60</v>
      </c>
      <c r="W1596" s="1">
        <v>56</v>
      </c>
      <c r="X1596" s="1">
        <v>60</v>
      </c>
    </row>
    <row r="1597" spans="1:44" x14ac:dyDescent="0.2">
      <c r="A1597" s="1" t="s">
        <v>2016</v>
      </c>
      <c r="B1597" s="1">
        <v>21182207</v>
      </c>
      <c r="C1597" s="1" t="s">
        <v>7420</v>
      </c>
      <c r="E1597" s="21">
        <v>102</v>
      </c>
      <c r="G1597" s="1" t="s">
        <v>2017</v>
      </c>
      <c r="H1597" s="1" t="s">
        <v>179</v>
      </c>
      <c r="I1597" s="5">
        <v>40513</v>
      </c>
      <c r="J1597" s="18" t="s">
        <v>11</v>
      </c>
      <c r="K1597" s="1" t="s">
        <v>2014</v>
      </c>
      <c r="L1597" s="1" t="s">
        <v>2015</v>
      </c>
      <c r="M1597" s="5"/>
      <c r="N1597" s="5" t="s">
        <v>10</v>
      </c>
      <c r="O1597" s="5" t="s">
        <v>10</v>
      </c>
      <c r="P1597" s="1" t="s">
        <v>3502</v>
      </c>
      <c r="Q1597" s="1" t="s">
        <v>33</v>
      </c>
      <c r="R1597" s="2" t="s">
        <v>4887</v>
      </c>
      <c r="S1597" s="1" t="s">
        <v>6248</v>
      </c>
      <c r="T1597" s="1">
        <v>843</v>
      </c>
      <c r="U1597" s="1">
        <v>843</v>
      </c>
      <c r="AE1597" s="1">
        <v>843</v>
      </c>
    </row>
    <row r="1598" spans="1:44" x14ac:dyDescent="0.2">
      <c r="A1598" s="1" t="s">
        <v>1871</v>
      </c>
      <c r="B1598" s="1">
        <v>21184583</v>
      </c>
      <c r="C1598" s="1" t="s">
        <v>7420</v>
      </c>
      <c r="E1598" s="21">
        <v>60</v>
      </c>
      <c r="G1598" s="1" t="s">
        <v>2013</v>
      </c>
      <c r="H1598" s="1" t="s">
        <v>7207</v>
      </c>
      <c r="I1598" s="5">
        <v>40544</v>
      </c>
      <c r="J1598" s="18" t="s">
        <v>11</v>
      </c>
      <c r="K1598" s="1" t="s">
        <v>43</v>
      </c>
      <c r="L1598" s="1" t="s">
        <v>1869</v>
      </c>
      <c r="M1598" s="5"/>
      <c r="N1598" s="5" t="s">
        <v>10</v>
      </c>
      <c r="O1598" s="5" t="s">
        <v>10</v>
      </c>
      <c r="P1598" s="1" t="s">
        <v>1870</v>
      </c>
      <c r="Q1598" s="1" t="s">
        <v>3877</v>
      </c>
      <c r="R1598" s="2" t="s">
        <v>4076</v>
      </c>
      <c r="S1598" s="1" t="s">
        <v>6244</v>
      </c>
      <c r="T1598" s="1">
        <v>2159</v>
      </c>
      <c r="U1598" s="1">
        <v>1064</v>
      </c>
      <c r="V1598" s="1">
        <v>771</v>
      </c>
      <c r="W1598" s="1">
        <v>293</v>
      </c>
      <c r="AH1598" s="1">
        <v>1095</v>
      </c>
      <c r="AI1598" s="1">
        <v>862</v>
      </c>
      <c r="AJ1598" s="1">
        <v>153</v>
      </c>
      <c r="AR1598" s="1">
        <v>80</v>
      </c>
    </row>
    <row r="1599" spans="1:44" x14ac:dyDescent="0.2">
      <c r="A1599" s="1" t="s">
        <v>1195</v>
      </c>
      <c r="B1599" s="1">
        <v>21186350</v>
      </c>
      <c r="C1599" s="1" t="s">
        <v>7420</v>
      </c>
      <c r="E1599" s="21">
        <v>97</v>
      </c>
      <c r="G1599" s="1" t="s">
        <v>2063</v>
      </c>
      <c r="H1599" s="1" t="s">
        <v>7393</v>
      </c>
      <c r="I1599" s="5">
        <v>40538</v>
      </c>
      <c r="J1599" s="18" t="s">
        <v>11</v>
      </c>
      <c r="K1599" s="1" t="s">
        <v>28</v>
      </c>
      <c r="L1599" s="1" t="s">
        <v>2062</v>
      </c>
      <c r="M1599" s="5"/>
      <c r="N1599" s="5" t="s">
        <v>10</v>
      </c>
      <c r="O1599" s="5" t="s">
        <v>10</v>
      </c>
      <c r="P1599" s="1" t="s">
        <v>3957</v>
      </c>
      <c r="Q1599" s="1" t="s">
        <v>3958</v>
      </c>
      <c r="R1599" s="2" t="s">
        <v>4546</v>
      </c>
      <c r="S1599" s="1" t="s">
        <v>6243</v>
      </c>
      <c r="T1599" s="1">
        <v>3920</v>
      </c>
      <c r="U1599" s="1">
        <v>1024</v>
      </c>
      <c r="V1599" s="1">
        <v>1024</v>
      </c>
      <c r="AH1599" s="1">
        <v>2896</v>
      </c>
      <c r="AI1599" s="1">
        <v>2896</v>
      </c>
    </row>
    <row r="1600" spans="1:44" x14ac:dyDescent="0.2">
      <c r="A1600" s="1" t="s">
        <v>1866</v>
      </c>
      <c r="B1600" s="1">
        <v>21194676</v>
      </c>
      <c r="C1600" s="1" t="s">
        <v>7420</v>
      </c>
      <c r="E1600" s="21">
        <v>201</v>
      </c>
      <c r="G1600" s="1" t="s">
        <v>197</v>
      </c>
      <c r="H1600" s="1" t="s">
        <v>7270</v>
      </c>
      <c r="I1600" s="5">
        <v>40542</v>
      </c>
      <c r="J1600" s="18" t="s">
        <v>10</v>
      </c>
      <c r="K1600" s="1" t="s">
        <v>16</v>
      </c>
      <c r="L1600" s="1" t="s">
        <v>2917</v>
      </c>
      <c r="M1600" s="5"/>
      <c r="N1600" s="5" t="s">
        <v>10</v>
      </c>
      <c r="O1600" s="5" t="s">
        <v>10</v>
      </c>
      <c r="P1600" s="1" t="s">
        <v>5456</v>
      </c>
      <c r="Q1600" s="7" t="s">
        <v>5632</v>
      </c>
      <c r="R1600" s="2" t="s">
        <v>5679</v>
      </c>
      <c r="S1600" s="1" t="s">
        <v>6244</v>
      </c>
      <c r="T1600" s="1">
        <v>113829</v>
      </c>
      <c r="U1600" s="1">
        <v>113829</v>
      </c>
      <c r="V1600" s="1">
        <v>90446</v>
      </c>
      <c r="W1600" s="1">
        <v>11357</v>
      </c>
      <c r="X1600" s="1">
        <v>984</v>
      </c>
      <c r="Y1600" s="1">
        <v>6003</v>
      </c>
      <c r="Z1600" s="1">
        <v>4540</v>
      </c>
      <c r="AA1600" s="1">
        <v>499</v>
      </c>
    </row>
    <row r="1601" spans="1:37" x14ac:dyDescent="0.2">
      <c r="A1601" s="1" t="s">
        <v>1326</v>
      </c>
      <c r="B1601" s="1">
        <v>21196492</v>
      </c>
      <c r="C1601" s="1" t="s">
        <v>7420</v>
      </c>
      <c r="E1601" s="21">
        <v>22</v>
      </c>
      <c r="G1601" s="1" t="s">
        <v>6800</v>
      </c>
      <c r="H1601" s="1" t="s">
        <v>7407</v>
      </c>
      <c r="I1601" s="5">
        <v>40553</v>
      </c>
      <c r="J1601" s="18" t="s">
        <v>11</v>
      </c>
      <c r="K1601" s="1" t="s">
        <v>103</v>
      </c>
      <c r="L1601" s="1" t="s">
        <v>2059</v>
      </c>
      <c r="M1601" s="5"/>
      <c r="N1601" s="5" t="s">
        <v>10</v>
      </c>
      <c r="O1601" s="5" t="s">
        <v>10</v>
      </c>
      <c r="P1601" s="1" t="s">
        <v>4979</v>
      </c>
      <c r="Q1601" s="1" t="s">
        <v>4181</v>
      </c>
      <c r="R1601" s="2" t="s">
        <v>4731</v>
      </c>
      <c r="S1601" s="1" t="s">
        <v>6242</v>
      </c>
      <c r="T1601" s="1">
        <v>12854</v>
      </c>
      <c r="U1601" s="1">
        <v>10112</v>
      </c>
      <c r="X1601" s="1">
        <v>10112</v>
      </c>
      <c r="AH1601" s="1">
        <v>2742</v>
      </c>
      <c r="AK1601" s="1">
        <v>2742</v>
      </c>
    </row>
    <row r="1602" spans="1:37" x14ac:dyDescent="0.2">
      <c r="A1602" s="1" t="s">
        <v>2023</v>
      </c>
      <c r="B1602" s="1">
        <v>21197116</v>
      </c>
      <c r="C1602" s="1" t="s">
        <v>7420</v>
      </c>
      <c r="E1602" s="21">
        <v>30</v>
      </c>
      <c r="G1602" s="1" t="s">
        <v>15</v>
      </c>
      <c r="H1602" s="1" t="s">
        <v>7143</v>
      </c>
      <c r="I1602" s="5">
        <v>40529</v>
      </c>
      <c r="J1602" s="18" t="s">
        <v>11</v>
      </c>
      <c r="K1602" s="1" t="s">
        <v>1633</v>
      </c>
      <c r="L1602" s="1" t="s">
        <v>2022</v>
      </c>
      <c r="M1602" s="5"/>
      <c r="N1602" s="5" t="s">
        <v>10</v>
      </c>
      <c r="O1602" s="5" t="s">
        <v>10</v>
      </c>
      <c r="P1602" s="1" t="s">
        <v>3661</v>
      </c>
      <c r="Q1602" s="1" t="s">
        <v>3662</v>
      </c>
      <c r="R1602" s="2" t="s">
        <v>4306</v>
      </c>
      <c r="S1602" s="1" t="s">
        <v>6243</v>
      </c>
      <c r="T1602" s="1">
        <v>1316</v>
      </c>
      <c r="U1602" s="1">
        <v>579</v>
      </c>
      <c r="V1602" s="1">
        <v>579</v>
      </c>
      <c r="AH1602" s="1">
        <v>737</v>
      </c>
      <c r="AI1602" s="1">
        <v>737</v>
      </c>
    </row>
    <row r="1603" spans="1:37" x14ac:dyDescent="0.2">
      <c r="A1603" s="1" t="s">
        <v>2021</v>
      </c>
      <c r="B1603" s="1">
        <v>21203500</v>
      </c>
      <c r="C1603" s="1" t="s">
        <v>7420</v>
      </c>
      <c r="E1603" s="21">
        <v>32</v>
      </c>
      <c r="G1603" s="1" t="s">
        <v>6878</v>
      </c>
      <c r="H1603" s="1" t="s">
        <v>7202</v>
      </c>
      <c r="I1603" s="5">
        <v>40535</v>
      </c>
      <c r="J1603" s="18" t="s">
        <v>11</v>
      </c>
      <c r="K1603" s="1" t="s">
        <v>65</v>
      </c>
      <c r="L1603" s="1" t="s">
        <v>2020</v>
      </c>
      <c r="M1603" s="5"/>
      <c r="N1603" s="5" t="s">
        <v>10</v>
      </c>
      <c r="O1603" s="5" t="s">
        <v>10</v>
      </c>
      <c r="P1603" s="1" t="s">
        <v>4022</v>
      </c>
      <c r="Q1603" s="1" t="s">
        <v>33</v>
      </c>
      <c r="R1603" s="2" t="s">
        <v>4977</v>
      </c>
      <c r="S1603" s="1" t="s">
        <v>6243</v>
      </c>
      <c r="T1603" s="1">
        <v>2559</v>
      </c>
      <c r="U1603" s="1">
        <v>2559</v>
      </c>
      <c r="V1603" s="1">
        <v>2559</v>
      </c>
    </row>
    <row r="1604" spans="1:37" x14ac:dyDescent="0.2">
      <c r="A1604" s="1" t="s">
        <v>2144</v>
      </c>
      <c r="B1604" s="1">
        <v>21207379</v>
      </c>
      <c r="C1604" s="1" t="s">
        <v>7420</v>
      </c>
      <c r="D1604" s="1">
        <v>1</v>
      </c>
      <c r="E1604" s="21">
        <v>0</v>
      </c>
      <c r="G1604" s="1" t="s">
        <v>2145</v>
      </c>
      <c r="H1604" s="1" t="s">
        <v>7231</v>
      </c>
      <c r="I1604" s="5">
        <v>40547</v>
      </c>
      <c r="J1604" s="18" t="s">
        <v>11</v>
      </c>
      <c r="K1604" s="1" t="s">
        <v>1145</v>
      </c>
      <c r="L1604" s="1" t="s">
        <v>2143</v>
      </c>
      <c r="M1604" s="5"/>
      <c r="N1604" s="5" t="s">
        <v>10</v>
      </c>
      <c r="O1604" s="5" t="s">
        <v>10</v>
      </c>
      <c r="P1604" s="1" t="s">
        <v>3497</v>
      </c>
      <c r="Q1604" s="1" t="s">
        <v>33</v>
      </c>
      <c r="R1604" s="2" t="s">
        <v>4302</v>
      </c>
      <c r="S1604" s="1" t="s">
        <v>6243</v>
      </c>
      <c r="T1604" s="1">
        <v>8481</v>
      </c>
      <c r="U1604" s="1">
        <v>8481</v>
      </c>
      <c r="V1604" s="1">
        <v>8481</v>
      </c>
    </row>
    <row r="1605" spans="1:37" x14ac:dyDescent="0.2">
      <c r="A1605" s="1" t="s">
        <v>2034</v>
      </c>
      <c r="B1605" s="1">
        <v>21208937</v>
      </c>
      <c r="C1605" s="1" t="s">
        <v>7420</v>
      </c>
      <c r="E1605" s="21">
        <v>134</v>
      </c>
      <c r="G1605" s="1" t="s">
        <v>6722</v>
      </c>
      <c r="H1605" s="1" t="s">
        <v>7211</v>
      </c>
      <c r="I1605" s="5">
        <v>40547</v>
      </c>
      <c r="J1605" s="18" t="s">
        <v>11</v>
      </c>
      <c r="K1605" s="1" t="s">
        <v>103</v>
      </c>
      <c r="L1605" s="1" t="s">
        <v>2033</v>
      </c>
      <c r="M1605" s="5"/>
      <c r="N1605" s="5" t="s">
        <v>10</v>
      </c>
      <c r="O1605" s="5" t="s">
        <v>10</v>
      </c>
      <c r="P1605" s="1" t="s">
        <v>6240</v>
      </c>
      <c r="Q1605" s="1" t="s">
        <v>6241</v>
      </c>
      <c r="R1605" s="2" t="s">
        <v>868</v>
      </c>
      <c r="S1605" s="1" t="s">
        <v>6243</v>
      </c>
      <c r="T1605" s="1">
        <v>9090</v>
      </c>
      <c r="U1605" s="1">
        <v>5633</v>
      </c>
      <c r="V1605" s="1">
        <v>5633</v>
      </c>
      <c r="AH1605" s="1">
        <v>3457</v>
      </c>
      <c r="AI1605" s="1">
        <v>3457</v>
      </c>
    </row>
    <row r="1606" spans="1:37" x14ac:dyDescent="0.2">
      <c r="A1606" s="1" t="s">
        <v>2032</v>
      </c>
      <c r="B1606" s="1">
        <v>21211798</v>
      </c>
      <c r="C1606" s="1" t="s">
        <v>7420</v>
      </c>
      <c r="E1606" s="21">
        <v>93</v>
      </c>
      <c r="G1606" s="1" t="s">
        <v>9</v>
      </c>
      <c r="H1606" s="1" t="s">
        <v>7192</v>
      </c>
      <c r="I1606" s="5">
        <v>40527</v>
      </c>
      <c r="J1606" s="18" t="s">
        <v>11</v>
      </c>
      <c r="K1606" s="1" t="s">
        <v>816</v>
      </c>
      <c r="L1606" s="1" t="s">
        <v>2030</v>
      </c>
      <c r="M1606" s="5"/>
      <c r="N1606" s="5" t="s">
        <v>10</v>
      </c>
      <c r="O1606" s="5" t="s">
        <v>10</v>
      </c>
      <c r="P1606" s="1" t="s">
        <v>2031</v>
      </c>
      <c r="Q1606" s="1" t="s">
        <v>4817</v>
      </c>
      <c r="R1606" s="2" t="s">
        <v>4953</v>
      </c>
      <c r="S1606" s="1" t="s">
        <v>6242</v>
      </c>
      <c r="T1606" s="1">
        <v>17447</v>
      </c>
      <c r="U1606" s="1">
        <v>271</v>
      </c>
      <c r="X1606" s="1">
        <v>271</v>
      </c>
      <c r="AH1606" s="1">
        <v>17176</v>
      </c>
      <c r="AK1606" s="1">
        <v>17176</v>
      </c>
    </row>
    <row r="1607" spans="1:37" x14ac:dyDescent="0.2">
      <c r="A1607" s="1" t="s">
        <v>2029</v>
      </c>
      <c r="B1607" s="1">
        <v>21212386</v>
      </c>
      <c r="C1607" s="1" t="s">
        <v>7420</v>
      </c>
      <c r="E1607" s="21">
        <v>57</v>
      </c>
      <c r="G1607" s="1" t="s">
        <v>7089</v>
      </c>
      <c r="H1607" s="1" t="s">
        <v>7242</v>
      </c>
      <c r="I1607" s="5">
        <v>40549</v>
      </c>
      <c r="J1607" s="18" t="s">
        <v>11</v>
      </c>
      <c r="K1607" s="1" t="s">
        <v>2027</v>
      </c>
      <c r="L1607" s="1" t="s">
        <v>2028</v>
      </c>
      <c r="M1607" s="5"/>
      <c r="N1607" s="5" t="s">
        <v>10</v>
      </c>
      <c r="O1607" s="5" t="s">
        <v>10</v>
      </c>
      <c r="P1607" s="1" t="s">
        <v>3984</v>
      </c>
      <c r="Q1607" s="1" t="s">
        <v>5663</v>
      </c>
      <c r="R1607" s="2" t="s">
        <v>4172</v>
      </c>
      <c r="S1607" s="1" t="s">
        <v>6244</v>
      </c>
      <c r="T1607" s="1">
        <v>3569</v>
      </c>
      <c r="U1607" s="1">
        <v>1264</v>
      </c>
      <c r="W1607" s="1">
        <v>1264</v>
      </c>
      <c r="AH1607" s="1">
        <v>2305</v>
      </c>
      <c r="AI1607" s="1">
        <v>1316</v>
      </c>
      <c r="AJ1607" s="1">
        <v>989</v>
      </c>
    </row>
    <row r="1608" spans="1:37" x14ac:dyDescent="0.2">
      <c r="A1608" s="1" t="s">
        <v>2038</v>
      </c>
      <c r="B1608" s="1">
        <v>21214922</v>
      </c>
      <c r="C1608" s="1" t="s">
        <v>7420</v>
      </c>
      <c r="E1608" s="21">
        <v>13</v>
      </c>
      <c r="G1608" s="1" t="s">
        <v>2039</v>
      </c>
      <c r="H1608" s="1" t="s">
        <v>137</v>
      </c>
      <c r="I1608" s="5">
        <v>40550</v>
      </c>
      <c r="J1608" s="18" t="s">
        <v>10</v>
      </c>
      <c r="K1608" s="1" t="s">
        <v>2918</v>
      </c>
      <c r="L1608" s="1" t="s">
        <v>2919</v>
      </c>
      <c r="M1608" s="5"/>
      <c r="N1608" s="5" t="s">
        <v>10</v>
      </c>
      <c r="O1608" s="5" t="s">
        <v>10</v>
      </c>
      <c r="P1608" s="1" t="s">
        <v>3384</v>
      </c>
      <c r="Q1608" s="1" t="s">
        <v>3386</v>
      </c>
      <c r="R1608" s="2" t="s">
        <v>5931</v>
      </c>
      <c r="S1608" s="1" t="s">
        <v>6248</v>
      </c>
      <c r="T1608" s="1">
        <v>2798</v>
      </c>
      <c r="U1608" s="1">
        <v>2798</v>
      </c>
      <c r="AE1608" s="1">
        <v>2798</v>
      </c>
    </row>
    <row r="1609" spans="1:37" x14ac:dyDescent="0.2">
      <c r="A1609" s="1" t="s">
        <v>2036</v>
      </c>
      <c r="B1609" s="1">
        <v>21216876</v>
      </c>
      <c r="C1609" s="1" t="s">
        <v>7420</v>
      </c>
      <c r="E1609" s="21">
        <v>192</v>
      </c>
      <c r="G1609" s="1" t="s">
        <v>2037</v>
      </c>
      <c r="H1609" s="1" t="s">
        <v>7043</v>
      </c>
      <c r="I1609" s="5">
        <v>40550</v>
      </c>
      <c r="J1609" s="18" t="s">
        <v>11</v>
      </c>
      <c r="K1609" s="1" t="s">
        <v>103</v>
      </c>
      <c r="L1609" s="1" t="s">
        <v>2035</v>
      </c>
      <c r="M1609" s="5"/>
      <c r="N1609" s="5" t="s">
        <v>10</v>
      </c>
      <c r="O1609" s="5" t="s">
        <v>10</v>
      </c>
      <c r="P1609" s="1" t="s">
        <v>3878</v>
      </c>
      <c r="Q1609" s="1" t="s">
        <v>5597</v>
      </c>
      <c r="R1609" s="2" t="s">
        <v>4617</v>
      </c>
      <c r="S1609" s="1" t="s">
        <v>6244</v>
      </c>
      <c r="T1609" s="1">
        <v>4613</v>
      </c>
      <c r="U1609" s="1">
        <v>1122</v>
      </c>
      <c r="AD1609" s="1">
        <v>1122</v>
      </c>
      <c r="AH1609" s="1">
        <v>3491</v>
      </c>
      <c r="AI1609" s="1">
        <v>3491</v>
      </c>
    </row>
    <row r="1610" spans="1:37" x14ac:dyDescent="0.2">
      <c r="A1610" s="1" t="s">
        <v>2141</v>
      </c>
      <c r="B1610" s="1">
        <v>21216879</v>
      </c>
      <c r="C1610" s="1" t="s">
        <v>7420</v>
      </c>
      <c r="E1610" s="21">
        <v>12</v>
      </c>
      <c r="G1610" s="1" t="s">
        <v>2142</v>
      </c>
      <c r="H1610" s="1" t="s">
        <v>7219</v>
      </c>
      <c r="I1610" s="5">
        <v>40556</v>
      </c>
      <c r="J1610" s="18" t="s">
        <v>11</v>
      </c>
      <c r="K1610" s="1" t="s">
        <v>103</v>
      </c>
      <c r="L1610" s="1" t="s">
        <v>2140</v>
      </c>
      <c r="M1610" s="5"/>
      <c r="N1610" s="5" t="s">
        <v>10</v>
      </c>
      <c r="O1610" s="5" t="s">
        <v>10</v>
      </c>
      <c r="P1610" s="1" t="s">
        <v>5109</v>
      </c>
      <c r="Q1610" s="1" t="s">
        <v>33</v>
      </c>
      <c r="R1610" s="2" t="s">
        <v>868</v>
      </c>
      <c r="S1610" s="1" t="s">
        <v>6243</v>
      </c>
      <c r="T1610" s="1">
        <v>10280</v>
      </c>
      <c r="U1610" s="1">
        <v>10280</v>
      </c>
      <c r="V1610" s="1">
        <v>10280</v>
      </c>
    </row>
    <row r="1611" spans="1:37" x14ac:dyDescent="0.2">
      <c r="A1611" s="1" t="s">
        <v>1290</v>
      </c>
      <c r="B1611" s="1">
        <v>21221126</v>
      </c>
      <c r="C1611" s="1" t="s">
        <v>7420</v>
      </c>
      <c r="E1611" s="21">
        <v>12</v>
      </c>
      <c r="G1611" s="1" t="s">
        <v>2046</v>
      </c>
      <c r="H1611" s="1" t="s">
        <v>7138</v>
      </c>
      <c r="I1611" s="5">
        <v>40554</v>
      </c>
      <c r="J1611" s="18" t="s">
        <v>11</v>
      </c>
      <c r="K1611" s="1" t="s">
        <v>113</v>
      </c>
      <c r="L1611" s="1" t="s">
        <v>2045</v>
      </c>
      <c r="M1611" s="5"/>
      <c r="N1611" s="5" t="s">
        <v>10</v>
      </c>
      <c r="O1611" s="5" t="s">
        <v>10</v>
      </c>
      <c r="P1611" s="1" t="s">
        <v>4437</v>
      </c>
      <c r="Q1611" s="1" t="s">
        <v>33</v>
      </c>
      <c r="R1611" s="2" t="s">
        <v>1156</v>
      </c>
      <c r="S1611" s="1" t="s">
        <v>6243</v>
      </c>
      <c r="T1611" s="1">
        <v>4979</v>
      </c>
      <c r="U1611" s="1">
        <v>4979</v>
      </c>
      <c r="V1611" s="1">
        <v>4979</v>
      </c>
    </row>
    <row r="1612" spans="1:37" x14ac:dyDescent="0.2">
      <c r="A1612" s="1" t="s">
        <v>1135</v>
      </c>
      <c r="B1612" s="1">
        <v>21221998</v>
      </c>
      <c r="C1612" s="1" t="s">
        <v>7420</v>
      </c>
      <c r="E1612" s="21">
        <v>121</v>
      </c>
      <c r="G1612" s="1" t="s">
        <v>678</v>
      </c>
      <c r="H1612" s="1" t="s">
        <v>7088</v>
      </c>
      <c r="I1612" s="5">
        <v>40552</v>
      </c>
      <c r="J1612" s="18" t="s">
        <v>11</v>
      </c>
      <c r="K1612" s="1" t="s">
        <v>595</v>
      </c>
      <c r="L1612" s="1" t="s">
        <v>2042</v>
      </c>
      <c r="M1612" s="5"/>
      <c r="N1612" s="5" t="s">
        <v>10</v>
      </c>
      <c r="O1612" s="5" t="s">
        <v>10</v>
      </c>
      <c r="P1612" s="1" t="s">
        <v>2043</v>
      </c>
      <c r="Q1612" s="1" t="s">
        <v>2044</v>
      </c>
      <c r="R1612" s="2" t="s">
        <v>4033</v>
      </c>
      <c r="S1612" s="1" t="s">
        <v>6242</v>
      </c>
      <c r="T1612" s="1">
        <v>2342</v>
      </c>
      <c r="U1612" s="1">
        <v>786</v>
      </c>
      <c r="X1612" s="1">
        <v>786</v>
      </c>
      <c r="AH1612" s="1">
        <v>1556</v>
      </c>
      <c r="AK1612" s="1">
        <v>1556</v>
      </c>
    </row>
    <row r="1613" spans="1:37" x14ac:dyDescent="0.2">
      <c r="A1613" s="1" t="s">
        <v>2313</v>
      </c>
      <c r="B1613" s="1">
        <v>21223598</v>
      </c>
      <c r="C1613" s="1" t="s">
        <v>7420</v>
      </c>
      <c r="E1613" s="21">
        <v>895</v>
      </c>
      <c r="G1613" s="1" t="s">
        <v>2314</v>
      </c>
      <c r="H1613" s="1" t="s">
        <v>7213</v>
      </c>
      <c r="I1613" s="5">
        <v>40554</v>
      </c>
      <c r="J1613" s="18" t="s">
        <v>11</v>
      </c>
      <c r="K1613" s="1" t="s">
        <v>538</v>
      </c>
      <c r="L1613" s="1" t="s">
        <v>2312</v>
      </c>
      <c r="M1613" s="5"/>
      <c r="N1613" s="5" t="s">
        <v>10</v>
      </c>
      <c r="O1613" s="5" t="s">
        <v>10</v>
      </c>
      <c r="P1613" s="1" t="s">
        <v>3964</v>
      </c>
      <c r="Q1613" s="1" t="s">
        <v>33</v>
      </c>
      <c r="R1613" s="2" t="s">
        <v>5948</v>
      </c>
      <c r="S1613" s="1" t="s">
        <v>6440</v>
      </c>
      <c r="T1613" s="1">
        <v>1086</v>
      </c>
      <c r="U1613" s="1">
        <v>1086</v>
      </c>
      <c r="W1613" s="1">
        <v>1086</v>
      </c>
    </row>
    <row r="1614" spans="1:37" x14ac:dyDescent="0.2">
      <c r="A1614" s="1" t="s">
        <v>2611</v>
      </c>
      <c r="B1614" s="1">
        <v>21226949</v>
      </c>
      <c r="C1614" s="1" t="s">
        <v>7420</v>
      </c>
      <c r="E1614" s="21">
        <v>518</v>
      </c>
      <c r="F1614" s="17">
        <v>1</v>
      </c>
      <c r="G1614" s="1" t="s">
        <v>2610</v>
      </c>
      <c r="H1614" s="1" t="s">
        <v>7356</v>
      </c>
      <c r="I1614" s="5">
        <v>40555</v>
      </c>
      <c r="J1614" s="18" t="s">
        <v>10</v>
      </c>
      <c r="K1614" s="1" t="s">
        <v>538</v>
      </c>
      <c r="L1614" s="1" t="s">
        <v>2920</v>
      </c>
      <c r="N1614" s="5" t="s">
        <v>10</v>
      </c>
      <c r="O1614" s="5" t="s">
        <v>10</v>
      </c>
      <c r="P1614" s="9" t="s">
        <v>3334</v>
      </c>
      <c r="Q1614" s="1" t="s">
        <v>33</v>
      </c>
      <c r="R1614" s="10" t="s">
        <v>5901</v>
      </c>
      <c r="S1614" s="1" t="s">
        <v>6243</v>
      </c>
      <c r="T1614" s="1">
        <v>52</v>
      </c>
      <c r="U1614" s="1">
        <v>52</v>
      </c>
      <c r="V1614" s="1">
        <v>52</v>
      </c>
    </row>
    <row r="1615" spans="1:37" x14ac:dyDescent="0.2">
      <c r="A1615" s="1" t="s">
        <v>1676</v>
      </c>
      <c r="B1615" s="1">
        <v>21228123</v>
      </c>
      <c r="C1615" s="1" t="s">
        <v>7420</v>
      </c>
      <c r="E1615" s="21">
        <v>12</v>
      </c>
      <c r="G1615" s="1" t="s">
        <v>6938</v>
      </c>
      <c r="H1615" s="1" t="s">
        <v>1084</v>
      </c>
      <c r="I1615" s="5">
        <v>40555</v>
      </c>
      <c r="J1615" s="18" t="s">
        <v>11</v>
      </c>
      <c r="K1615" s="1" t="s">
        <v>2133</v>
      </c>
      <c r="L1615" s="1" t="s">
        <v>2134</v>
      </c>
      <c r="M1615" s="5"/>
      <c r="N1615" s="5" t="s">
        <v>10</v>
      </c>
      <c r="O1615" s="5" t="s">
        <v>10</v>
      </c>
      <c r="P1615" s="1" t="s">
        <v>4195</v>
      </c>
      <c r="Q1615" s="1" t="s">
        <v>33</v>
      </c>
      <c r="R1615" s="2" t="s">
        <v>5000</v>
      </c>
      <c r="S1615" s="1" t="s">
        <v>6242</v>
      </c>
      <c r="T1615" s="1">
        <v>2383</v>
      </c>
      <c r="U1615" s="1">
        <v>2383</v>
      </c>
      <c r="X1615" s="1">
        <v>2383</v>
      </c>
    </row>
    <row r="1616" spans="1:37" x14ac:dyDescent="0.2">
      <c r="A1616" s="1" t="s">
        <v>2040</v>
      </c>
      <c r="B1616" s="1">
        <v>21228793</v>
      </c>
      <c r="C1616" s="1" t="s">
        <v>7420</v>
      </c>
      <c r="E1616" s="21">
        <v>40</v>
      </c>
      <c r="G1616" s="1" t="s">
        <v>655</v>
      </c>
      <c r="H1616" s="1" t="s">
        <v>7222</v>
      </c>
      <c r="I1616" s="5">
        <v>40556</v>
      </c>
      <c r="J1616" s="18" t="s">
        <v>10</v>
      </c>
      <c r="K1616" s="1" t="s">
        <v>689</v>
      </c>
      <c r="L1616" s="1" t="s">
        <v>2921</v>
      </c>
      <c r="M1616" s="5"/>
      <c r="N1616" s="5" t="s">
        <v>10</v>
      </c>
      <c r="O1616" s="5" t="s">
        <v>10</v>
      </c>
      <c r="P1616" s="1" t="s">
        <v>3186</v>
      </c>
      <c r="Q1616" s="1" t="s">
        <v>3187</v>
      </c>
      <c r="R1616" s="2" t="s">
        <v>5919</v>
      </c>
      <c r="S1616" s="1" t="s">
        <v>6242</v>
      </c>
      <c r="T1616" s="1">
        <v>11254</v>
      </c>
      <c r="U1616" s="1">
        <v>7551</v>
      </c>
      <c r="X1616" s="1">
        <v>7551</v>
      </c>
      <c r="AH1616" s="1">
        <v>3703</v>
      </c>
      <c r="AK1616" s="1">
        <v>3703</v>
      </c>
    </row>
    <row r="1617" spans="1:44" x14ac:dyDescent="0.2">
      <c r="A1617" s="1" t="s">
        <v>2617</v>
      </c>
      <c r="B1617" s="1">
        <v>21229297</v>
      </c>
      <c r="C1617" s="1" t="s">
        <v>7420</v>
      </c>
      <c r="D1617" s="1">
        <v>1</v>
      </c>
      <c r="E1617" s="21">
        <v>0</v>
      </c>
      <c r="G1617" s="1" t="s">
        <v>6633</v>
      </c>
      <c r="H1617" s="1" t="s">
        <v>7261</v>
      </c>
      <c r="I1617" s="5">
        <v>40556</v>
      </c>
      <c r="J1617" s="18" t="s">
        <v>10</v>
      </c>
      <c r="K1617" s="1" t="s">
        <v>382</v>
      </c>
      <c r="L1617" s="1" t="s">
        <v>2922</v>
      </c>
      <c r="N1617" s="5" t="s">
        <v>10</v>
      </c>
      <c r="O1617" s="5" t="s">
        <v>10</v>
      </c>
      <c r="P1617" s="1" t="s">
        <v>6414</v>
      </c>
      <c r="Q1617" s="1" t="s">
        <v>33</v>
      </c>
      <c r="R1617" s="1" t="s">
        <v>5807</v>
      </c>
      <c r="S1617" s="1" t="s">
        <v>6244</v>
      </c>
      <c r="T1617" s="1">
        <v>76</v>
      </c>
      <c r="U1617" s="1">
        <v>76</v>
      </c>
      <c r="V1617" s="1">
        <v>73</v>
      </c>
      <c r="W1617" s="1">
        <v>1</v>
      </c>
      <c r="X1617" s="1">
        <v>1</v>
      </c>
      <c r="AE1617" s="1">
        <v>1</v>
      </c>
    </row>
    <row r="1618" spans="1:44" x14ac:dyDescent="0.2">
      <c r="A1618" s="1" t="s">
        <v>2049</v>
      </c>
      <c r="B1618" s="1">
        <v>21239051</v>
      </c>
      <c r="C1618" s="1" t="s">
        <v>7420</v>
      </c>
      <c r="E1618" s="21">
        <v>76</v>
      </c>
      <c r="G1618" s="1" t="s">
        <v>2050</v>
      </c>
      <c r="H1618" s="1" t="s">
        <v>7192</v>
      </c>
      <c r="I1618" s="5">
        <v>40557</v>
      </c>
      <c r="J1618" s="18" t="s">
        <v>11</v>
      </c>
      <c r="K1618" s="1" t="s">
        <v>351</v>
      </c>
      <c r="L1618" s="1" t="s">
        <v>2048</v>
      </c>
      <c r="M1618" s="5"/>
      <c r="N1618" s="5" t="s">
        <v>10</v>
      </c>
      <c r="O1618" s="5" t="s">
        <v>10</v>
      </c>
      <c r="P1618" s="1" t="s">
        <v>5100</v>
      </c>
      <c r="Q1618" s="1" t="s">
        <v>5101</v>
      </c>
      <c r="R1618" s="2" t="s">
        <v>1420</v>
      </c>
      <c r="S1618" s="1" t="s">
        <v>6243</v>
      </c>
      <c r="T1618" s="1">
        <v>29203</v>
      </c>
      <c r="U1618" s="1">
        <v>10034</v>
      </c>
      <c r="V1618" s="1">
        <v>10034</v>
      </c>
      <c r="AH1618" s="1">
        <v>19169</v>
      </c>
      <c r="AI1618" s="1">
        <v>19169</v>
      </c>
    </row>
    <row r="1619" spans="1:44" x14ac:dyDescent="0.2">
      <c r="A1619" s="1" t="s">
        <v>1135</v>
      </c>
      <c r="B1619" s="1">
        <v>21239504</v>
      </c>
      <c r="C1619" s="1" t="s">
        <v>7420</v>
      </c>
      <c r="E1619" s="21">
        <v>39</v>
      </c>
      <c r="G1619" s="1" t="s">
        <v>7034</v>
      </c>
      <c r="H1619" s="1" t="s">
        <v>2676</v>
      </c>
      <c r="I1619" s="5">
        <v>40557</v>
      </c>
      <c r="J1619" s="18" t="s">
        <v>10</v>
      </c>
      <c r="K1619" s="1" t="s">
        <v>2053</v>
      </c>
      <c r="L1619" s="1" t="s">
        <v>2924</v>
      </c>
      <c r="M1619" s="5"/>
      <c r="N1619" s="5" t="s">
        <v>10</v>
      </c>
      <c r="O1619" s="5" t="s">
        <v>10</v>
      </c>
      <c r="P1619" s="1" t="s">
        <v>3365</v>
      </c>
      <c r="Q1619" s="1" t="s">
        <v>33</v>
      </c>
      <c r="R1619" s="2" t="s">
        <v>5859</v>
      </c>
      <c r="S1619" s="1" t="s">
        <v>6242</v>
      </c>
      <c r="T1619" s="1">
        <v>676</v>
      </c>
      <c r="U1619" s="1">
        <v>676</v>
      </c>
      <c r="X1619" s="1">
        <v>676</v>
      </c>
    </row>
    <row r="1620" spans="1:44" x14ac:dyDescent="0.2">
      <c r="A1620" s="1" t="s">
        <v>2057</v>
      </c>
      <c r="B1620" s="1">
        <v>21242121</v>
      </c>
      <c r="C1620" s="1" t="s">
        <v>7420</v>
      </c>
      <c r="E1620" s="21">
        <v>53</v>
      </c>
      <c r="G1620" s="1" t="s">
        <v>6863</v>
      </c>
      <c r="H1620" s="1" t="s">
        <v>1809</v>
      </c>
      <c r="I1620" s="5">
        <v>40560</v>
      </c>
      <c r="J1620" s="18" t="s">
        <v>11</v>
      </c>
      <c r="K1620" s="1" t="s">
        <v>2053</v>
      </c>
      <c r="L1620" s="1" t="s">
        <v>2054</v>
      </c>
      <c r="M1620" s="5"/>
      <c r="N1620" s="5" t="s">
        <v>10</v>
      </c>
      <c r="O1620" s="5" t="s">
        <v>10</v>
      </c>
      <c r="P1620" s="1" t="s">
        <v>2055</v>
      </c>
      <c r="Q1620" s="1" t="s">
        <v>2056</v>
      </c>
      <c r="R1620" s="2" t="s">
        <v>5025</v>
      </c>
      <c r="S1620" s="1" t="s">
        <v>6243</v>
      </c>
      <c r="T1620" s="1">
        <v>917</v>
      </c>
      <c r="U1620" s="1">
        <v>600</v>
      </c>
      <c r="V1620" s="1">
        <v>600</v>
      </c>
      <c r="AH1620" s="1">
        <v>317</v>
      </c>
      <c r="AI1620" s="1">
        <v>317</v>
      </c>
    </row>
    <row r="1621" spans="1:44" x14ac:dyDescent="0.2">
      <c r="A1621" s="1" t="s">
        <v>1040</v>
      </c>
      <c r="B1621" s="1">
        <v>21242260</v>
      </c>
      <c r="C1621" s="1" t="s">
        <v>7420</v>
      </c>
      <c r="E1621" s="21">
        <v>121</v>
      </c>
      <c r="G1621" s="1" t="s">
        <v>145</v>
      </c>
      <c r="H1621" s="1" t="s">
        <v>146</v>
      </c>
      <c r="I1621" s="5">
        <v>40560</v>
      </c>
      <c r="J1621" s="18" t="s">
        <v>11</v>
      </c>
      <c r="K1621" s="1" t="s">
        <v>2051</v>
      </c>
      <c r="L1621" s="1" t="s">
        <v>2052</v>
      </c>
      <c r="M1621" s="5"/>
      <c r="N1621" s="5" t="s">
        <v>10</v>
      </c>
      <c r="O1621" s="5" t="s">
        <v>10</v>
      </c>
      <c r="P1621" s="1" t="s">
        <v>3995</v>
      </c>
      <c r="Q1621" s="1" t="s">
        <v>4430</v>
      </c>
      <c r="R1621" s="2" t="s">
        <v>3996</v>
      </c>
      <c r="S1621" s="1" t="s">
        <v>6242</v>
      </c>
      <c r="T1621" s="1">
        <v>11263</v>
      </c>
      <c r="U1621" s="1">
        <v>3481</v>
      </c>
      <c r="X1621" s="1">
        <v>3481</v>
      </c>
      <c r="AH1621" s="1">
        <v>7782</v>
      </c>
      <c r="AK1621" s="1">
        <v>7782</v>
      </c>
    </row>
    <row r="1622" spans="1:44" x14ac:dyDescent="0.2">
      <c r="A1622" s="1" t="s">
        <v>1543</v>
      </c>
      <c r="B1622" s="1">
        <v>21244703</v>
      </c>
      <c r="C1622" s="1" t="s">
        <v>7420</v>
      </c>
      <c r="E1622" s="21">
        <v>405</v>
      </c>
      <c r="G1622" s="1" t="s">
        <v>175</v>
      </c>
      <c r="H1622" s="1" t="s">
        <v>7402</v>
      </c>
      <c r="I1622" s="5">
        <v>40561</v>
      </c>
      <c r="J1622" s="18" t="s">
        <v>11</v>
      </c>
      <c r="K1622" s="1" t="s">
        <v>2315</v>
      </c>
      <c r="L1622" s="1" t="s">
        <v>2704</v>
      </c>
      <c r="N1622" s="5" t="s">
        <v>10</v>
      </c>
      <c r="O1622" s="5" t="s">
        <v>10</v>
      </c>
      <c r="P1622" s="1" t="s">
        <v>3865</v>
      </c>
      <c r="Q1622" s="1" t="s">
        <v>3910</v>
      </c>
      <c r="R1622" s="2" t="s">
        <v>943</v>
      </c>
      <c r="S1622" s="1" t="s">
        <v>6243</v>
      </c>
      <c r="T1622" s="1">
        <v>12450</v>
      </c>
      <c r="U1622" s="1">
        <v>8844</v>
      </c>
      <c r="V1622" s="1">
        <v>8844</v>
      </c>
      <c r="AH1622" s="1">
        <v>3606</v>
      </c>
      <c r="AI1622" s="1">
        <v>3606</v>
      </c>
    </row>
    <row r="1623" spans="1:44" x14ac:dyDescent="0.2">
      <c r="A1623" s="1" t="s">
        <v>2169</v>
      </c>
      <c r="B1623" s="1">
        <v>21245432</v>
      </c>
      <c r="C1623" s="1" t="s">
        <v>7420</v>
      </c>
      <c r="E1623" s="21">
        <v>46</v>
      </c>
      <c r="G1623" s="1" t="s">
        <v>7024</v>
      </c>
      <c r="H1623" s="1" t="s">
        <v>7131</v>
      </c>
      <c r="I1623" s="5">
        <v>40561</v>
      </c>
      <c r="J1623" s="18" t="s">
        <v>11</v>
      </c>
      <c r="K1623" s="1" t="s">
        <v>1810</v>
      </c>
      <c r="L1623" s="1" t="s">
        <v>2168</v>
      </c>
      <c r="M1623" s="5"/>
      <c r="N1623" s="5" t="s">
        <v>11</v>
      </c>
      <c r="O1623" s="5" t="s">
        <v>11</v>
      </c>
      <c r="P1623" s="1" t="s">
        <v>6353</v>
      </c>
      <c r="Q1623" s="1" t="s">
        <v>6354</v>
      </c>
      <c r="R1623" s="2" t="s">
        <v>4050</v>
      </c>
      <c r="S1623" s="1" t="s">
        <v>6389</v>
      </c>
      <c r="T1623" s="1">
        <v>502</v>
      </c>
      <c r="U1623" s="1">
        <v>323</v>
      </c>
      <c r="V1623" s="1">
        <v>222</v>
      </c>
      <c r="AE1623" s="1">
        <v>101</v>
      </c>
      <c r="AH1623" s="1">
        <v>179</v>
      </c>
      <c r="AI1623" s="1">
        <v>144</v>
      </c>
      <c r="AR1623" s="1">
        <v>35</v>
      </c>
    </row>
    <row r="1624" spans="1:44" x14ac:dyDescent="0.2">
      <c r="A1624" s="1" t="s">
        <v>1184</v>
      </c>
      <c r="B1624" s="1">
        <v>21248740</v>
      </c>
      <c r="C1624" s="1" t="s">
        <v>7420</v>
      </c>
      <c r="E1624" s="21">
        <v>235</v>
      </c>
      <c r="G1624" s="1" t="s">
        <v>19</v>
      </c>
      <c r="H1624" s="1" t="s">
        <v>7195</v>
      </c>
      <c r="I1624" s="5">
        <v>40562</v>
      </c>
      <c r="J1624" s="18" t="s">
        <v>11</v>
      </c>
      <c r="K1624" s="1" t="s">
        <v>592</v>
      </c>
      <c r="L1624" s="1" t="s">
        <v>2058</v>
      </c>
      <c r="M1624" s="5"/>
      <c r="N1624" s="5" t="s">
        <v>10</v>
      </c>
      <c r="O1624" s="5" t="s">
        <v>10</v>
      </c>
      <c r="P1624" s="1" t="s">
        <v>4270</v>
      </c>
      <c r="Q1624" s="1" t="s">
        <v>33</v>
      </c>
      <c r="R1624" s="2" t="s">
        <v>4498</v>
      </c>
      <c r="S1624" s="1" t="s">
        <v>6243</v>
      </c>
      <c r="T1624" s="1">
        <v>2796</v>
      </c>
      <c r="U1624" s="1">
        <v>2796</v>
      </c>
      <c r="V1624" s="1">
        <v>2796</v>
      </c>
    </row>
    <row r="1625" spans="1:44" x14ac:dyDescent="0.2">
      <c r="A1625" s="1" t="s">
        <v>2646</v>
      </c>
      <c r="B1625" s="1">
        <v>21251332</v>
      </c>
      <c r="C1625" s="1" t="s">
        <v>7420</v>
      </c>
      <c r="E1625" s="21">
        <v>192</v>
      </c>
      <c r="F1625" s="17">
        <v>1</v>
      </c>
      <c r="G1625" s="1" t="s">
        <v>6809</v>
      </c>
      <c r="H1625" s="1" t="s">
        <v>7344</v>
      </c>
      <c r="I1625" s="5">
        <v>40563</v>
      </c>
      <c r="J1625" s="18" t="s">
        <v>10</v>
      </c>
      <c r="K1625" s="1" t="s">
        <v>2925</v>
      </c>
      <c r="L1625" s="1" t="s">
        <v>2926</v>
      </c>
      <c r="N1625" s="5" t="s">
        <v>10</v>
      </c>
      <c r="O1625" s="5" t="s">
        <v>10</v>
      </c>
      <c r="P1625" s="1" t="s">
        <v>5480</v>
      </c>
      <c r="Q1625" s="1" t="s">
        <v>33</v>
      </c>
      <c r="R1625" s="2" t="s">
        <v>3364</v>
      </c>
      <c r="S1625" s="1" t="s">
        <v>6440</v>
      </c>
      <c r="T1625" s="1">
        <v>77</v>
      </c>
      <c r="U1625" s="1">
        <v>77</v>
      </c>
      <c r="W1625" s="1">
        <v>77</v>
      </c>
    </row>
    <row r="1626" spans="1:44" x14ac:dyDescent="0.2">
      <c r="A1626" s="1" t="s">
        <v>1717</v>
      </c>
      <c r="B1626" s="1">
        <v>21257790</v>
      </c>
      <c r="C1626" s="1" t="s">
        <v>7420</v>
      </c>
      <c r="E1626" s="21">
        <v>7</v>
      </c>
      <c r="G1626" s="1" t="s">
        <v>2333</v>
      </c>
      <c r="H1626" s="1" t="s">
        <v>7039</v>
      </c>
      <c r="I1626" s="5">
        <v>40564</v>
      </c>
      <c r="J1626" s="18" t="s">
        <v>10</v>
      </c>
      <c r="K1626" s="1" t="s">
        <v>1637</v>
      </c>
      <c r="L1626" s="1" t="s">
        <v>2927</v>
      </c>
      <c r="M1626" s="5"/>
      <c r="N1626" s="5" t="s">
        <v>10</v>
      </c>
      <c r="O1626" s="5" t="s">
        <v>10</v>
      </c>
      <c r="P1626" s="1" t="s">
        <v>3220</v>
      </c>
      <c r="Q1626" s="1" t="s">
        <v>3221</v>
      </c>
      <c r="R1626" s="2" t="s">
        <v>4487</v>
      </c>
      <c r="S1626" s="1" t="s">
        <v>6244</v>
      </c>
      <c r="T1626" s="1">
        <v>3088</v>
      </c>
      <c r="U1626" s="1">
        <v>222</v>
      </c>
      <c r="W1626" s="1">
        <v>222</v>
      </c>
      <c r="AH1626" s="1">
        <v>2866</v>
      </c>
      <c r="AI1626" s="1">
        <v>2866</v>
      </c>
    </row>
    <row r="1627" spans="1:44" x14ac:dyDescent="0.2">
      <c r="A1627" s="1" t="s">
        <v>2103</v>
      </c>
      <c r="B1627" s="1">
        <v>21258085</v>
      </c>
      <c r="C1627" s="1" t="s">
        <v>7420</v>
      </c>
      <c r="E1627" s="21">
        <v>6</v>
      </c>
      <c r="G1627" s="1" t="s">
        <v>19</v>
      </c>
      <c r="H1627" s="1" t="s">
        <v>7195</v>
      </c>
      <c r="I1627" s="5">
        <v>40564</v>
      </c>
      <c r="J1627" s="18" t="s">
        <v>10</v>
      </c>
      <c r="K1627" s="1" t="s">
        <v>103</v>
      </c>
      <c r="L1627" s="1" t="s">
        <v>2928</v>
      </c>
      <c r="M1627" s="5"/>
      <c r="N1627" s="5" t="s">
        <v>10</v>
      </c>
      <c r="O1627" s="5" t="s">
        <v>10</v>
      </c>
      <c r="P1627" s="1" t="s">
        <v>5141</v>
      </c>
      <c r="Q1627" s="1" t="s">
        <v>5142</v>
      </c>
      <c r="R1627" s="2" t="s">
        <v>5714</v>
      </c>
      <c r="S1627" s="1" t="s">
        <v>6243</v>
      </c>
      <c r="T1627" s="1">
        <v>4732</v>
      </c>
      <c r="U1627" s="1">
        <v>3399</v>
      </c>
      <c r="V1627" s="1">
        <v>3399</v>
      </c>
      <c r="AH1627" s="1">
        <v>1333</v>
      </c>
      <c r="AI1627" s="1">
        <v>1333</v>
      </c>
    </row>
    <row r="1628" spans="1:44" x14ac:dyDescent="0.2">
      <c r="A1628" s="1" t="s">
        <v>2167</v>
      </c>
      <c r="B1628" s="1">
        <v>21263130</v>
      </c>
      <c r="C1628" s="1" t="s">
        <v>7420</v>
      </c>
      <c r="E1628" s="21">
        <v>22</v>
      </c>
      <c r="G1628" s="1" t="s">
        <v>119</v>
      </c>
      <c r="H1628" s="1" t="s">
        <v>6675</v>
      </c>
      <c r="I1628" s="5">
        <v>40567</v>
      </c>
      <c r="J1628" s="18" t="s">
        <v>11</v>
      </c>
      <c r="K1628" s="1" t="s">
        <v>311</v>
      </c>
      <c r="L1628" s="1" t="s">
        <v>2166</v>
      </c>
      <c r="M1628" s="5"/>
      <c r="N1628" s="5" t="s">
        <v>11</v>
      </c>
      <c r="O1628" s="5" t="s">
        <v>11</v>
      </c>
      <c r="P1628" s="1" t="s">
        <v>5089</v>
      </c>
      <c r="Q1628" s="1" t="s">
        <v>4812</v>
      </c>
      <c r="R1628" s="2" t="s">
        <v>4645</v>
      </c>
      <c r="S1628" s="1" t="s">
        <v>6243</v>
      </c>
      <c r="T1628" s="1">
        <v>21787</v>
      </c>
      <c r="U1628" s="1">
        <v>6346</v>
      </c>
      <c r="V1628" s="1">
        <v>6346</v>
      </c>
      <c r="AH1628" s="1">
        <v>15441</v>
      </c>
      <c r="AI1628" s="1">
        <v>15441</v>
      </c>
    </row>
    <row r="1629" spans="1:44" x14ac:dyDescent="0.2">
      <c r="A1629" s="1" t="s">
        <v>2109</v>
      </c>
      <c r="B1629" s="1">
        <v>21270382</v>
      </c>
      <c r="C1629" s="1" t="s">
        <v>7420</v>
      </c>
      <c r="E1629" s="21">
        <v>141</v>
      </c>
      <c r="G1629" s="1" t="s">
        <v>2110</v>
      </c>
      <c r="H1629" s="1" t="s">
        <v>7208</v>
      </c>
      <c r="I1629" s="5">
        <v>40569</v>
      </c>
      <c r="J1629" s="18" t="s">
        <v>11</v>
      </c>
      <c r="K1629" s="1" t="s">
        <v>2107</v>
      </c>
      <c r="L1629" s="1" t="s">
        <v>2108</v>
      </c>
      <c r="M1629" s="5"/>
      <c r="N1629" s="5" t="s">
        <v>11</v>
      </c>
      <c r="O1629" s="5" t="s">
        <v>11</v>
      </c>
      <c r="P1629" s="1" t="s">
        <v>4013</v>
      </c>
      <c r="Q1629" s="1" t="s">
        <v>4014</v>
      </c>
      <c r="R1629" s="2" t="s">
        <v>4555</v>
      </c>
      <c r="S1629" s="1" t="s">
        <v>6242</v>
      </c>
      <c r="T1629" s="1">
        <v>2834</v>
      </c>
      <c r="U1629" s="1">
        <v>1721</v>
      </c>
      <c r="X1629" s="1">
        <v>1721</v>
      </c>
      <c r="AH1629" s="1">
        <v>1113</v>
      </c>
      <c r="AK1629" s="1">
        <v>1113</v>
      </c>
    </row>
    <row r="1630" spans="1:44" x14ac:dyDescent="0.2">
      <c r="A1630" s="1" t="s">
        <v>2105</v>
      </c>
      <c r="B1630" s="1">
        <v>21273288</v>
      </c>
      <c r="C1630" s="1" t="s">
        <v>7420</v>
      </c>
      <c r="E1630" s="21">
        <v>111</v>
      </c>
      <c r="G1630" s="1" t="s">
        <v>2106</v>
      </c>
      <c r="H1630" s="1" t="s">
        <v>7300</v>
      </c>
      <c r="I1630" s="5">
        <v>40570</v>
      </c>
      <c r="J1630" s="18" t="s">
        <v>11</v>
      </c>
      <c r="K1630" s="1" t="s">
        <v>103</v>
      </c>
      <c r="L1630" s="1" t="s">
        <v>2104</v>
      </c>
      <c r="M1630" s="5"/>
      <c r="N1630" s="5" t="s">
        <v>10</v>
      </c>
      <c r="O1630" s="5" t="s">
        <v>10</v>
      </c>
      <c r="P1630" s="1" t="s">
        <v>3985</v>
      </c>
      <c r="Q1630" s="1" t="s">
        <v>3986</v>
      </c>
      <c r="R1630" s="2" t="s">
        <v>667</v>
      </c>
      <c r="S1630" s="1" t="s">
        <v>6243</v>
      </c>
      <c r="T1630" s="1">
        <v>3071</v>
      </c>
      <c r="U1630" s="1">
        <v>1325</v>
      </c>
      <c r="V1630" s="1">
        <v>1325</v>
      </c>
      <c r="AH1630" s="1">
        <v>1746</v>
      </c>
      <c r="AI1630" s="1">
        <v>1746</v>
      </c>
    </row>
    <row r="1631" spans="1:44" x14ac:dyDescent="0.2">
      <c r="A1631" s="1" t="s">
        <v>2202</v>
      </c>
      <c r="B1631" s="1">
        <v>21278746</v>
      </c>
      <c r="C1631" s="1" t="s">
        <v>7420</v>
      </c>
      <c r="E1631" s="21">
        <v>9</v>
      </c>
      <c r="G1631" s="1" t="s">
        <v>2203</v>
      </c>
      <c r="H1631" s="1" t="s">
        <v>7293</v>
      </c>
      <c r="I1631" s="5">
        <v>40573</v>
      </c>
      <c r="J1631" s="18" t="s">
        <v>11</v>
      </c>
      <c r="K1631" s="1" t="s">
        <v>28</v>
      </c>
      <c r="L1631" s="1" t="s">
        <v>2200</v>
      </c>
      <c r="M1631" s="5"/>
      <c r="N1631" s="5" t="s">
        <v>11</v>
      </c>
      <c r="O1631" s="5" t="s">
        <v>11</v>
      </c>
      <c r="P1631" s="1" t="s">
        <v>5556</v>
      </c>
      <c r="Q1631" s="1" t="s">
        <v>6355</v>
      </c>
      <c r="R1631" s="2" t="s">
        <v>2201</v>
      </c>
      <c r="S1631" s="1" t="s">
        <v>6389</v>
      </c>
      <c r="T1631" s="1">
        <v>7712</v>
      </c>
      <c r="U1631" s="1">
        <v>4877</v>
      </c>
      <c r="V1631" s="1">
        <v>4877</v>
      </c>
      <c r="AH1631" s="1">
        <v>2835</v>
      </c>
      <c r="AR1631" s="1">
        <v>2835</v>
      </c>
    </row>
    <row r="1632" spans="1:44" x14ac:dyDescent="0.2">
      <c r="A1632" s="1" t="s">
        <v>2381</v>
      </c>
      <c r="B1632" s="1">
        <v>21283740</v>
      </c>
      <c r="C1632" s="1" t="s">
        <v>7420</v>
      </c>
      <c r="E1632" s="21">
        <v>50</v>
      </c>
      <c r="G1632" s="1" t="s">
        <v>2382</v>
      </c>
      <c r="H1632" s="1" t="s">
        <v>7268</v>
      </c>
      <c r="I1632" s="5">
        <v>40564</v>
      </c>
      <c r="J1632" s="18" t="s">
        <v>10</v>
      </c>
      <c r="K1632" s="1" t="s">
        <v>181</v>
      </c>
      <c r="L1632" s="1" t="s">
        <v>2929</v>
      </c>
      <c r="M1632" s="5"/>
      <c r="N1632" s="5" t="s">
        <v>11</v>
      </c>
      <c r="O1632" s="5" t="s">
        <v>10</v>
      </c>
      <c r="P1632" s="1" t="s">
        <v>6357</v>
      </c>
      <c r="Q1632" s="1" t="s">
        <v>6356</v>
      </c>
      <c r="R1632" s="2" t="s">
        <v>5731</v>
      </c>
      <c r="S1632" s="1" t="s">
        <v>6389</v>
      </c>
      <c r="T1632" s="1">
        <v>28272</v>
      </c>
      <c r="U1632" s="1">
        <v>2024</v>
      </c>
      <c r="V1632" s="1">
        <v>2024</v>
      </c>
      <c r="AH1632" s="1">
        <v>26248</v>
      </c>
      <c r="AI1632" s="1">
        <v>23170</v>
      </c>
      <c r="AR1632" s="1">
        <v>3078</v>
      </c>
    </row>
    <row r="1633" spans="1:35" x14ac:dyDescent="0.2">
      <c r="A1633" s="1" t="s">
        <v>2114</v>
      </c>
      <c r="B1633" s="1">
        <v>21283782</v>
      </c>
      <c r="C1633" s="1" t="s">
        <v>7420</v>
      </c>
      <c r="E1633" s="21">
        <v>12</v>
      </c>
      <c r="G1633" s="1" t="s">
        <v>2115</v>
      </c>
      <c r="H1633" s="1" t="s">
        <v>2116</v>
      </c>
      <c r="I1633" s="5">
        <v>40563</v>
      </c>
      <c r="J1633" s="18" t="s">
        <v>11</v>
      </c>
      <c r="K1633" s="1" t="s">
        <v>65</v>
      </c>
      <c r="L1633" s="1" t="s">
        <v>2111</v>
      </c>
      <c r="M1633" s="5"/>
      <c r="N1633" s="5" t="s">
        <v>10</v>
      </c>
      <c r="O1633" s="5" t="s">
        <v>10</v>
      </c>
      <c r="P1633" s="1" t="s">
        <v>2112</v>
      </c>
      <c r="Q1633" s="1" t="s">
        <v>2113</v>
      </c>
      <c r="R1633" s="2" t="s">
        <v>4494</v>
      </c>
      <c r="S1633" s="1" t="s">
        <v>6243</v>
      </c>
      <c r="T1633" s="1">
        <v>447</v>
      </c>
      <c r="U1633" s="1">
        <v>165</v>
      </c>
      <c r="V1633" s="1">
        <v>165</v>
      </c>
      <c r="AH1633" s="1">
        <v>282</v>
      </c>
      <c r="AI1633" s="1">
        <v>282</v>
      </c>
    </row>
    <row r="1634" spans="1:35" x14ac:dyDescent="0.2">
      <c r="A1634" s="1" t="s">
        <v>1021</v>
      </c>
      <c r="B1634" s="11">
        <v>21283786</v>
      </c>
      <c r="C1634" s="1" t="s">
        <v>7420</v>
      </c>
      <c r="E1634" s="21">
        <v>7087</v>
      </c>
      <c r="F1634" s="17">
        <v>1</v>
      </c>
      <c r="G1634" s="1" t="s">
        <v>3074</v>
      </c>
      <c r="H1634" s="1" t="s">
        <v>7367</v>
      </c>
      <c r="I1634" s="5">
        <v>40563</v>
      </c>
      <c r="J1634" s="18" t="s">
        <v>10</v>
      </c>
      <c r="K1634" s="15" t="s">
        <v>65</v>
      </c>
      <c r="L1634" s="15" t="s">
        <v>6502</v>
      </c>
      <c r="N1634" s="5" t="s">
        <v>10</v>
      </c>
      <c r="O1634" s="5" t="s">
        <v>10</v>
      </c>
      <c r="P1634" s="1" t="s">
        <v>5110</v>
      </c>
      <c r="Q1634" s="1" t="s">
        <v>33</v>
      </c>
      <c r="R1634" s="1" t="s">
        <v>6044</v>
      </c>
      <c r="S1634" s="1" t="s">
        <v>6243</v>
      </c>
      <c r="T1634" s="1">
        <v>106</v>
      </c>
      <c r="U1634" s="1">
        <v>106</v>
      </c>
      <c r="V1634" s="1">
        <v>106</v>
      </c>
    </row>
    <row r="1635" spans="1:35" x14ac:dyDescent="0.2">
      <c r="A1635" s="1" t="s">
        <v>2118</v>
      </c>
      <c r="B1635" s="1">
        <v>21292315</v>
      </c>
      <c r="C1635" s="1" t="s">
        <v>7420</v>
      </c>
      <c r="E1635" s="21">
        <v>14</v>
      </c>
      <c r="G1635" s="1" t="s">
        <v>19</v>
      </c>
      <c r="H1635" s="1" t="s">
        <v>7195</v>
      </c>
      <c r="I1635" s="5">
        <v>40575</v>
      </c>
      <c r="J1635" s="18" t="s">
        <v>11</v>
      </c>
      <c r="K1635" s="1" t="s">
        <v>351</v>
      </c>
      <c r="L1635" s="1" t="s">
        <v>2117</v>
      </c>
      <c r="M1635" s="5"/>
      <c r="N1635" s="5" t="s">
        <v>10</v>
      </c>
      <c r="O1635" s="5" t="s">
        <v>10</v>
      </c>
      <c r="P1635" s="1" t="s">
        <v>5312</v>
      </c>
      <c r="Q1635" s="1" t="s">
        <v>5313</v>
      </c>
      <c r="R1635" s="2" t="s">
        <v>4923</v>
      </c>
      <c r="S1635" s="1" t="s">
        <v>6243</v>
      </c>
      <c r="T1635" s="1">
        <v>33412</v>
      </c>
      <c r="U1635" s="1">
        <v>17352</v>
      </c>
      <c r="V1635" s="1">
        <v>17352</v>
      </c>
      <c r="AH1635" s="1">
        <v>16060</v>
      </c>
      <c r="AI1635" s="1">
        <v>16060</v>
      </c>
    </row>
    <row r="1636" spans="1:35" x14ac:dyDescent="0.2">
      <c r="A1636" s="1" t="s">
        <v>2199</v>
      </c>
      <c r="B1636" s="1">
        <v>21294900</v>
      </c>
      <c r="C1636" s="1" t="s">
        <v>7420</v>
      </c>
      <c r="E1636" s="21">
        <v>137</v>
      </c>
      <c r="G1636" s="1" t="s">
        <v>6733</v>
      </c>
      <c r="H1636" s="1" t="s">
        <v>7211</v>
      </c>
      <c r="I1636" s="5">
        <v>40578</v>
      </c>
      <c r="J1636" s="18" t="s">
        <v>11</v>
      </c>
      <c r="K1636" s="1" t="s">
        <v>538</v>
      </c>
      <c r="L1636" s="1" t="s">
        <v>2198</v>
      </c>
      <c r="M1636" s="5"/>
      <c r="N1636" s="5" t="s">
        <v>10</v>
      </c>
      <c r="O1636" s="5" t="s">
        <v>10</v>
      </c>
      <c r="P1636" s="1" t="s">
        <v>3953</v>
      </c>
      <c r="Q1636" s="1" t="s">
        <v>33</v>
      </c>
      <c r="R1636" s="2" t="s">
        <v>4639</v>
      </c>
      <c r="S1636" s="1" t="s">
        <v>6440</v>
      </c>
      <c r="T1636" s="1">
        <v>1017</v>
      </c>
      <c r="U1636" s="1">
        <v>1017</v>
      </c>
      <c r="W1636" s="1">
        <v>1017</v>
      </c>
    </row>
    <row r="1637" spans="1:35" x14ac:dyDescent="0.2">
      <c r="A1637" s="1" t="s">
        <v>2224</v>
      </c>
      <c r="B1637" s="1">
        <v>21297633</v>
      </c>
      <c r="C1637" s="1" t="s">
        <v>7420</v>
      </c>
      <c r="E1637" s="21">
        <v>210</v>
      </c>
      <c r="G1637" s="1" t="s">
        <v>557</v>
      </c>
      <c r="H1637" s="1" t="s">
        <v>558</v>
      </c>
      <c r="I1637" s="5">
        <v>40580</v>
      </c>
      <c r="J1637" s="18" t="s">
        <v>11</v>
      </c>
      <c r="K1637" s="1" t="s">
        <v>28</v>
      </c>
      <c r="L1637" s="1" t="s">
        <v>2222</v>
      </c>
      <c r="M1637" s="5"/>
      <c r="N1637" s="5" t="s">
        <v>10</v>
      </c>
      <c r="O1637" s="5" t="s">
        <v>10</v>
      </c>
      <c r="P1637" s="1" t="s">
        <v>5341</v>
      </c>
      <c r="Q1637" s="1" t="s">
        <v>5342</v>
      </c>
      <c r="R1637" s="2" t="s">
        <v>2223</v>
      </c>
      <c r="S1637" s="1" t="s">
        <v>6243</v>
      </c>
      <c r="T1637" s="1">
        <v>48950</v>
      </c>
      <c r="U1637" s="1">
        <v>26405</v>
      </c>
      <c r="V1637" s="1">
        <v>26405</v>
      </c>
      <c r="AH1637" s="1">
        <v>22545</v>
      </c>
      <c r="AI1637" s="1">
        <v>22545</v>
      </c>
    </row>
    <row r="1638" spans="1:35" x14ac:dyDescent="0.2">
      <c r="A1638" s="1" t="s">
        <v>2205</v>
      </c>
      <c r="B1638" s="1">
        <v>21298027</v>
      </c>
      <c r="C1638" s="1" t="s">
        <v>7420</v>
      </c>
      <c r="E1638" s="21">
        <v>78</v>
      </c>
      <c r="G1638" s="1" t="s">
        <v>2206</v>
      </c>
      <c r="H1638" s="1" t="s">
        <v>2207</v>
      </c>
      <c r="I1638" s="5">
        <v>40570</v>
      </c>
      <c r="J1638" s="18" t="s">
        <v>11</v>
      </c>
      <c r="K1638" s="1" t="s">
        <v>65</v>
      </c>
      <c r="L1638" s="1" t="s">
        <v>2204</v>
      </c>
      <c r="M1638" s="5"/>
      <c r="N1638" s="5" t="s">
        <v>10</v>
      </c>
      <c r="O1638" s="5" t="s">
        <v>10</v>
      </c>
      <c r="P1638" s="1" t="s">
        <v>5231</v>
      </c>
      <c r="Q1638" s="1" t="s">
        <v>5232</v>
      </c>
      <c r="R1638" s="2" t="s">
        <v>4055</v>
      </c>
      <c r="S1638" s="1" t="s">
        <v>6243</v>
      </c>
      <c r="T1638" s="1">
        <v>21616</v>
      </c>
      <c r="U1638" s="1">
        <v>10249</v>
      </c>
      <c r="V1638" s="1">
        <v>10249</v>
      </c>
      <c r="AH1638" s="1">
        <v>11367</v>
      </c>
      <c r="AI1638" s="1">
        <v>11367</v>
      </c>
    </row>
    <row r="1639" spans="1:35" x14ac:dyDescent="0.2">
      <c r="A1639" s="1" t="s">
        <v>1431</v>
      </c>
      <c r="B1639" s="1">
        <v>21298047</v>
      </c>
      <c r="C1639" s="1" t="s">
        <v>7420</v>
      </c>
      <c r="E1639" s="21">
        <v>50</v>
      </c>
      <c r="G1639" s="1" t="s">
        <v>3433</v>
      </c>
      <c r="H1639" s="1" t="s">
        <v>7199</v>
      </c>
      <c r="I1639" s="5">
        <v>40570</v>
      </c>
      <c r="J1639" s="18" t="s">
        <v>11</v>
      </c>
      <c r="K1639" s="15" t="s">
        <v>181</v>
      </c>
      <c r="L1639" s="15" t="s">
        <v>6501</v>
      </c>
      <c r="N1639" s="5" t="s">
        <v>11</v>
      </c>
      <c r="O1639" s="5" t="s">
        <v>10</v>
      </c>
      <c r="P1639" s="1" t="s">
        <v>5472</v>
      </c>
      <c r="Q1639" s="1" t="s">
        <v>33</v>
      </c>
      <c r="R1639" s="2" t="s">
        <v>5740</v>
      </c>
      <c r="S1639" s="1" t="s">
        <v>6244</v>
      </c>
      <c r="T1639" s="1">
        <v>3627</v>
      </c>
      <c r="U1639" s="1">
        <v>3627</v>
      </c>
      <c r="V1639" s="1">
        <v>2524</v>
      </c>
      <c r="W1639" s="1">
        <v>1103</v>
      </c>
    </row>
    <row r="1640" spans="1:35" x14ac:dyDescent="0.2">
      <c r="A1640" s="1" t="s">
        <v>2608</v>
      </c>
      <c r="B1640" s="1">
        <v>21299892</v>
      </c>
      <c r="C1640" s="1" t="s">
        <v>7420</v>
      </c>
      <c r="E1640" s="21">
        <v>205</v>
      </c>
      <c r="F1640" s="17">
        <v>1</v>
      </c>
      <c r="G1640" s="1" t="s">
        <v>2609</v>
      </c>
      <c r="H1640" s="1" t="s">
        <v>7360</v>
      </c>
      <c r="I1640" s="5">
        <v>40581</v>
      </c>
      <c r="J1640" s="18" t="s">
        <v>10</v>
      </c>
      <c r="K1640" s="1" t="s">
        <v>2930</v>
      </c>
      <c r="L1640" s="1" t="s">
        <v>2931</v>
      </c>
      <c r="N1640" s="5" t="s">
        <v>10</v>
      </c>
      <c r="O1640" s="5" t="s">
        <v>10</v>
      </c>
      <c r="P1640" s="1" t="s">
        <v>3342</v>
      </c>
      <c r="Q1640" s="1" t="s">
        <v>33</v>
      </c>
      <c r="R1640" s="2" t="s">
        <v>5843</v>
      </c>
      <c r="S1640" s="1" t="s">
        <v>6246</v>
      </c>
      <c r="T1640" s="1">
        <v>149</v>
      </c>
      <c r="U1640" s="1">
        <v>149</v>
      </c>
      <c r="AA1640" s="1">
        <v>149</v>
      </c>
    </row>
    <row r="1641" spans="1:35" x14ac:dyDescent="0.2">
      <c r="A1641" s="1" t="s">
        <v>801</v>
      </c>
      <c r="B1641" s="1">
        <v>21300955</v>
      </c>
      <c r="C1641" s="1" t="s">
        <v>7420</v>
      </c>
      <c r="E1641" s="21">
        <v>59</v>
      </c>
      <c r="G1641" s="1" t="s">
        <v>6800</v>
      </c>
      <c r="H1641" s="1" t="s">
        <v>7407</v>
      </c>
      <c r="I1641" s="5">
        <v>40581</v>
      </c>
      <c r="J1641" s="18" t="s">
        <v>11</v>
      </c>
      <c r="K1641" s="1" t="s">
        <v>1371</v>
      </c>
      <c r="L1641" s="1" t="s">
        <v>2158</v>
      </c>
      <c r="M1641" s="5"/>
      <c r="N1641" s="5" t="s">
        <v>10</v>
      </c>
      <c r="O1641" s="5" t="s">
        <v>10</v>
      </c>
      <c r="P1641" s="1" t="s">
        <v>5355</v>
      </c>
      <c r="Q1641" s="1" t="s">
        <v>5356</v>
      </c>
      <c r="R1641" s="2" t="s">
        <v>868</v>
      </c>
      <c r="S1641" s="1" t="s">
        <v>6243</v>
      </c>
      <c r="T1641" s="1">
        <v>82725</v>
      </c>
      <c r="U1641" s="1">
        <v>66185</v>
      </c>
      <c r="V1641" s="1">
        <v>66185</v>
      </c>
      <c r="AH1641" s="1">
        <v>16540</v>
      </c>
      <c r="AI1641" s="1">
        <v>16540</v>
      </c>
    </row>
    <row r="1642" spans="1:35" x14ac:dyDescent="0.2">
      <c r="A1642" s="1" t="s">
        <v>2047</v>
      </c>
      <c r="B1642" s="1">
        <v>21302346</v>
      </c>
      <c r="C1642" s="1" t="s">
        <v>7420</v>
      </c>
      <c r="E1642" s="21">
        <v>27</v>
      </c>
      <c r="G1642" s="1" t="s">
        <v>112</v>
      </c>
      <c r="H1642" s="1" t="s">
        <v>7145</v>
      </c>
      <c r="I1642" s="5">
        <v>40556</v>
      </c>
      <c r="J1642" s="18" t="s">
        <v>10</v>
      </c>
      <c r="K1642" s="1" t="s">
        <v>43</v>
      </c>
      <c r="L1642" s="1" t="s">
        <v>2923</v>
      </c>
      <c r="M1642" s="5"/>
      <c r="N1642" s="5" t="s">
        <v>10</v>
      </c>
      <c r="O1642" s="5" t="s">
        <v>10</v>
      </c>
      <c r="P1642" s="1" t="s">
        <v>5324</v>
      </c>
      <c r="Q1642" s="1" t="s">
        <v>6103</v>
      </c>
      <c r="R1642" s="2" t="s">
        <v>5899</v>
      </c>
      <c r="S1642" s="1" t="s">
        <v>6243</v>
      </c>
      <c r="T1642" s="1">
        <v>1878</v>
      </c>
      <c r="U1642" s="1">
        <v>1016</v>
      </c>
      <c r="V1642" s="1">
        <v>1016</v>
      </c>
      <c r="AH1642" s="1">
        <v>862</v>
      </c>
      <c r="AI1642" s="1">
        <v>862</v>
      </c>
    </row>
    <row r="1643" spans="1:35" x14ac:dyDescent="0.2">
      <c r="A1643" s="1" t="s">
        <v>1847</v>
      </c>
      <c r="B1643" s="1">
        <v>21302353</v>
      </c>
      <c r="C1643" s="1" t="s">
        <v>7420</v>
      </c>
      <c r="E1643" s="21">
        <v>50</v>
      </c>
      <c r="G1643" s="1" t="s">
        <v>2061</v>
      </c>
      <c r="H1643" s="1" t="s">
        <v>40</v>
      </c>
      <c r="I1643" s="5">
        <v>40540</v>
      </c>
      <c r="J1643" s="18" t="s">
        <v>11</v>
      </c>
      <c r="K1643" s="1" t="s">
        <v>43</v>
      </c>
      <c r="L1643" s="1" t="s">
        <v>2060</v>
      </c>
      <c r="M1643" s="5"/>
      <c r="N1643" s="5" t="s">
        <v>10</v>
      </c>
      <c r="O1643" s="5" t="s">
        <v>10</v>
      </c>
      <c r="P1643" s="1" t="s">
        <v>6224</v>
      </c>
      <c r="Q1643" s="1" t="s">
        <v>33</v>
      </c>
      <c r="R1643" s="2" t="s">
        <v>4743</v>
      </c>
      <c r="S1643" s="1" t="s">
        <v>6243</v>
      </c>
      <c r="T1643" s="1">
        <v>3304</v>
      </c>
      <c r="U1643" s="1">
        <v>3304</v>
      </c>
      <c r="V1643" s="1">
        <v>3304</v>
      </c>
    </row>
    <row r="1644" spans="1:35" x14ac:dyDescent="0.2">
      <c r="A1644" s="1" t="s">
        <v>2607</v>
      </c>
      <c r="B1644" s="1">
        <v>21304890</v>
      </c>
      <c r="C1644" s="1" t="s">
        <v>7420</v>
      </c>
      <c r="D1644" s="1">
        <v>1</v>
      </c>
      <c r="E1644" s="21">
        <v>0</v>
      </c>
      <c r="F1644" s="17">
        <v>1</v>
      </c>
      <c r="G1644" s="1" t="s">
        <v>7029</v>
      </c>
      <c r="H1644" s="1" t="s">
        <v>7364</v>
      </c>
      <c r="I1644" s="5">
        <v>40577</v>
      </c>
      <c r="J1644" s="18" t="s">
        <v>10</v>
      </c>
      <c r="K1644" s="1" t="s">
        <v>65</v>
      </c>
      <c r="L1644" s="1" t="s">
        <v>2932</v>
      </c>
      <c r="N1644" s="5" t="s">
        <v>11</v>
      </c>
      <c r="O1644" s="5" t="s">
        <v>11</v>
      </c>
      <c r="P1644" s="1" t="s">
        <v>6652</v>
      </c>
      <c r="Q1644" s="1" t="s">
        <v>33</v>
      </c>
      <c r="R1644" s="2" t="s">
        <v>5701</v>
      </c>
      <c r="S1644" s="1" t="s">
        <v>6243</v>
      </c>
      <c r="T1644" s="1">
        <v>482</v>
      </c>
      <c r="U1644" s="1">
        <v>482</v>
      </c>
      <c r="V1644" s="1">
        <v>482</v>
      </c>
    </row>
    <row r="1645" spans="1:35" x14ac:dyDescent="0.2">
      <c r="A1645" s="1" t="s">
        <v>2120</v>
      </c>
      <c r="B1645" s="1">
        <v>21305692</v>
      </c>
      <c r="C1645" s="1" t="s">
        <v>7420</v>
      </c>
      <c r="E1645" s="21">
        <v>30</v>
      </c>
      <c r="G1645" s="1" t="s">
        <v>6608</v>
      </c>
      <c r="H1645" s="1" t="s">
        <v>7145</v>
      </c>
      <c r="I1645" s="5">
        <v>40582</v>
      </c>
      <c r="J1645" s="18" t="s">
        <v>11</v>
      </c>
      <c r="K1645" s="1" t="s">
        <v>43</v>
      </c>
      <c r="L1645" s="1" t="s">
        <v>2119</v>
      </c>
      <c r="M1645" s="5"/>
      <c r="N1645" s="5" t="s">
        <v>10</v>
      </c>
      <c r="O1645" s="5" t="s">
        <v>10</v>
      </c>
      <c r="P1645" s="1" t="s">
        <v>6114</v>
      </c>
      <c r="Q1645" s="1" t="s">
        <v>6115</v>
      </c>
      <c r="R1645" s="2" t="s">
        <v>4358</v>
      </c>
      <c r="S1645" s="1" t="s">
        <v>6243</v>
      </c>
      <c r="T1645" s="1">
        <v>6752</v>
      </c>
      <c r="U1645" s="1">
        <v>2836</v>
      </c>
      <c r="V1645" s="1">
        <v>2836</v>
      </c>
      <c r="AH1645" s="1">
        <v>3916</v>
      </c>
      <c r="AI1645" s="1">
        <v>3916</v>
      </c>
    </row>
    <row r="1646" spans="1:35" x14ac:dyDescent="0.2">
      <c r="A1646" s="1" t="s">
        <v>2162</v>
      </c>
      <c r="B1646" s="1">
        <v>21307088</v>
      </c>
      <c r="C1646" s="1" t="s">
        <v>7420</v>
      </c>
      <c r="E1646" s="21">
        <v>5</v>
      </c>
      <c r="G1646" s="1" t="s">
        <v>2163</v>
      </c>
      <c r="H1646" s="1" t="s">
        <v>7334</v>
      </c>
      <c r="I1646" s="5">
        <v>40600</v>
      </c>
      <c r="J1646" s="18" t="s">
        <v>11</v>
      </c>
      <c r="K1646" s="1" t="s">
        <v>103</v>
      </c>
      <c r="L1646" s="1" t="s">
        <v>2161</v>
      </c>
      <c r="M1646" s="5"/>
      <c r="N1646" s="5" t="s">
        <v>10</v>
      </c>
      <c r="O1646" s="5" t="s">
        <v>10</v>
      </c>
      <c r="P1646" s="1" t="s">
        <v>4200</v>
      </c>
      <c r="Q1646" s="1" t="s">
        <v>6209</v>
      </c>
      <c r="R1646" s="2" t="s">
        <v>4044</v>
      </c>
      <c r="S1646" s="1" t="s">
        <v>6244</v>
      </c>
      <c r="T1646" s="1">
        <v>13771</v>
      </c>
      <c r="U1646" s="1">
        <v>4445</v>
      </c>
      <c r="X1646" s="1">
        <v>2313</v>
      </c>
      <c r="Y1646" s="1">
        <v>2132</v>
      </c>
      <c r="AH1646" s="1">
        <v>9326</v>
      </c>
      <c r="AI1646" s="1">
        <v>9326</v>
      </c>
    </row>
    <row r="1647" spans="1:35" x14ac:dyDescent="0.2">
      <c r="A1647" s="1" t="s">
        <v>1799</v>
      </c>
      <c r="B1647" s="1">
        <v>21310492</v>
      </c>
      <c r="C1647" s="1" t="s">
        <v>7420</v>
      </c>
      <c r="E1647" s="21">
        <v>12</v>
      </c>
      <c r="G1647" s="1" t="s">
        <v>6876</v>
      </c>
      <c r="H1647" s="1" t="s">
        <v>7390</v>
      </c>
      <c r="I1647" s="5">
        <v>40582</v>
      </c>
      <c r="J1647" s="18" t="s">
        <v>11</v>
      </c>
      <c r="K1647" s="1" t="s">
        <v>1410</v>
      </c>
      <c r="L1647" s="1" t="s">
        <v>2221</v>
      </c>
      <c r="M1647" s="5"/>
      <c r="N1647" s="5" t="s">
        <v>10</v>
      </c>
      <c r="O1647" s="5" t="s">
        <v>10</v>
      </c>
      <c r="P1647" s="1" t="s">
        <v>6282</v>
      </c>
      <c r="Q1647" s="1" t="s">
        <v>33</v>
      </c>
      <c r="R1647" s="2" t="s">
        <v>4955</v>
      </c>
      <c r="S1647" s="1" t="s">
        <v>6242</v>
      </c>
      <c r="T1647" s="1">
        <v>849</v>
      </c>
      <c r="U1647" s="1">
        <v>849</v>
      </c>
      <c r="X1647" s="1">
        <v>849</v>
      </c>
    </row>
    <row r="1648" spans="1:35" x14ac:dyDescent="0.2">
      <c r="A1648" s="1" t="s">
        <v>2236</v>
      </c>
      <c r="B1648" s="1">
        <v>21314694</v>
      </c>
      <c r="C1648" s="1" t="s">
        <v>7420</v>
      </c>
      <c r="E1648" s="21">
        <v>976</v>
      </c>
      <c r="G1648" s="1" t="s">
        <v>968</v>
      </c>
      <c r="H1648" s="1" t="s">
        <v>7207</v>
      </c>
      <c r="I1648" s="5">
        <v>40585</v>
      </c>
      <c r="J1648" s="18" t="s">
        <v>11</v>
      </c>
      <c r="K1648" s="1" t="s">
        <v>1350</v>
      </c>
      <c r="L1648" s="1" t="s">
        <v>2235</v>
      </c>
      <c r="M1648" s="5"/>
      <c r="N1648" s="5" t="s">
        <v>10</v>
      </c>
      <c r="O1648" s="5" t="s">
        <v>10</v>
      </c>
      <c r="P1648" s="1" t="s">
        <v>4205</v>
      </c>
      <c r="Q1648" s="1" t="s">
        <v>33</v>
      </c>
      <c r="R1648" s="2" t="s">
        <v>5948</v>
      </c>
      <c r="S1648" s="1" t="s">
        <v>6244</v>
      </c>
      <c r="T1648" s="1">
        <v>3169</v>
      </c>
      <c r="U1648" s="1">
        <v>3169</v>
      </c>
      <c r="V1648" s="1">
        <v>2357</v>
      </c>
      <c r="W1648" s="1">
        <v>812</v>
      </c>
    </row>
    <row r="1649" spans="1:44" x14ac:dyDescent="0.2">
      <c r="A1649" s="1" t="s">
        <v>2614</v>
      </c>
      <c r="B1649" s="1">
        <v>21314952</v>
      </c>
      <c r="C1649" s="1" t="s">
        <v>7420</v>
      </c>
      <c r="E1649" s="21">
        <v>43</v>
      </c>
      <c r="G1649" s="1" t="s">
        <v>2615</v>
      </c>
      <c r="H1649" s="1" t="s">
        <v>7306</v>
      </c>
      <c r="I1649" s="5">
        <v>40585</v>
      </c>
      <c r="J1649" s="18" t="s">
        <v>10</v>
      </c>
      <c r="K1649" s="1" t="s">
        <v>538</v>
      </c>
      <c r="L1649" s="1" t="s">
        <v>2933</v>
      </c>
      <c r="N1649" s="5" t="s">
        <v>10</v>
      </c>
      <c r="O1649" s="5" t="s">
        <v>10</v>
      </c>
      <c r="P1649" s="1" t="s">
        <v>3385</v>
      </c>
      <c r="Q1649" s="1" t="s">
        <v>33</v>
      </c>
      <c r="R1649" s="1" t="s">
        <v>5888</v>
      </c>
      <c r="S1649" s="1" t="s">
        <v>6244</v>
      </c>
      <c r="T1649" s="1">
        <v>58</v>
      </c>
      <c r="U1649" s="1">
        <v>58</v>
      </c>
      <c r="AD1649" s="1">
        <v>58</v>
      </c>
    </row>
    <row r="1650" spans="1:44" x14ac:dyDescent="0.2">
      <c r="A1650" s="1" t="s">
        <v>2125</v>
      </c>
      <c r="B1650" s="1">
        <v>21316307</v>
      </c>
      <c r="C1650" s="1" t="s">
        <v>7420</v>
      </c>
      <c r="E1650" s="21">
        <v>8</v>
      </c>
      <c r="G1650" s="1" t="s">
        <v>2126</v>
      </c>
      <c r="H1650" s="1" t="s">
        <v>6687</v>
      </c>
      <c r="I1650" s="5">
        <v>40535</v>
      </c>
      <c r="J1650" s="18" t="s">
        <v>10</v>
      </c>
      <c r="K1650" s="1" t="s">
        <v>2934</v>
      </c>
      <c r="L1650" s="1" t="s">
        <v>2935</v>
      </c>
      <c r="M1650" s="5"/>
      <c r="N1650" s="5" t="s">
        <v>11</v>
      </c>
      <c r="O1650" s="5" t="s">
        <v>11</v>
      </c>
      <c r="P1650" s="1" t="s">
        <v>6235</v>
      </c>
      <c r="Q1650" s="1" t="s">
        <v>33</v>
      </c>
      <c r="R1650" s="2" t="s">
        <v>4507</v>
      </c>
      <c r="S1650" s="1" t="s">
        <v>6243</v>
      </c>
      <c r="T1650" s="1">
        <v>92</v>
      </c>
      <c r="U1650" s="1">
        <v>92</v>
      </c>
      <c r="V1650" s="1">
        <v>92</v>
      </c>
    </row>
    <row r="1651" spans="1:44" x14ac:dyDescent="0.2">
      <c r="A1651" s="1" t="s">
        <v>2124</v>
      </c>
      <c r="B1651" s="1">
        <v>21316860</v>
      </c>
      <c r="C1651" s="1" t="s">
        <v>7420</v>
      </c>
      <c r="E1651" s="21">
        <v>183</v>
      </c>
      <c r="G1651" s="1" t="s">
        <v>6799</v>
      </c>
      <c r="H1651" s="1" t="s">
        <v>7249</v>
      </c>
      <c r="I1651" s="5">
        <v>40585</v>
      </c>
      <c r="J1651" s="18" t="s">
        <v>11</v>
      </c>
      <c r="K1651" s="1" t="s">
        <v>2122</v>
      </c>
      <c r="L1651" s="1" t="s">
        <v>2123</v>
      </c>
      <c r="M1651" s="5"/>
      <c r="N1651" s="5" t="s">
        <v>10</v>
      </c>
      <c r="O1651" s="5" t="s">
        <v>10</v>
      </c>
      <c r="P1651" s="1" t="s">
        <v>4010</v>
      </c>
      <c r="Q1651" s="1" t="s">
        <v>4179</v>
      </c>
      <c r="R1651" s="2" t="s">
        <v>4974</v>
      </c>
      <c r="S1651" s="1" t="s">
        <v>6243</v>
      </c>
      <c r="T1651" s="1">
        <v>4547</v>
      </c>
      <c r="U1651" s="1">
        <v>1711</v>
      </c>
      <c r="V1651" s="1">
        <v>1711</v>
      </c>
      <c r="AH1651" s="1">
        <v>2836</v>
      </c>
      <c r="AI1651" s="1">
        <v>2836</v>
      </c>
    </row>
    <row r="1652" spans="1:44" x14ac:dyDescent="0.2">
      <c r="A1652" s="1" t="s">
        <v>2232</v>
      </c>
      <c r="B1652" s="1">
        <v>21323541</v>
      </c>
      <c r="C1652" s="1" t="s">
        <v>7420</v>
      </c>
      <c r="E1652" s="21">
        <v>460</v>
      </c>
      <c r="G1652" s="1" t="s">
        <v>2233</v>
      </c>
      <c r="H1652" s="1" t="s">
        <v>13</v>
      </c>
      <c r="I1652" s="5">
        <v>40596</v>
      </c>
      <c r="J1652" s="18" t="s">
        <v>11</v>
      </c>
      <c r="K1652" s="1" t="s">
        <v>157</v>
      </c>
      <c r="L1652" s="1" t="s">
        <v>2231</v>
      </c>
      <c r="M1652" s="5"/>
      <c r="N1652" s="5" t="s">
        <v>10</v>
      </c>
      <c r="O1652" s="5" t="s">
        <v>10</v>
      </c>
      <c r="P1652" s="1" t="s">
        <v>5640</v>
      </c>
      <c r="Q1652" s="1" t="s">
        <v>33</v>
      </c>
      <c r="R1652" s="2" t="s">
        <v>4249</v>
      </c>
      <c r="S1652" s="1" t="s">
        <v>6243</v>
      </c>
      <c r="T1652" s="1">
        <v>2894</v>
      </c>
      <c r="U1652" s="1">
        <v>2894</v>
      </c>
      <c r="V1652" s="1">
        <v>2894</v>
      </c>
    </row>
    <row r="1653" spans="1:44" x14ac:dyDescent="0.2">
      <c r="A1653" s="1" t="s">
        <v>1451</v>
      </c>
      <c r="B1653" s="1">
        <v>21326295</v>
      </c>
      <c r="C1653" s="1" t="s">
        <v>7420</v>
      </c>
      <c r="E1653" s="21">
        <v>16</v>
      </c>
      <c r="G1653" s="1" t="s">
        <v>1526</v>
      </c>
      <c r="H1653" s="1" t="s">
        <v>137</v>
      </c>
      <c r="I1653" s="5">
        <v>40591</v>
      </c>
      <c r="J1653" s="18" t="s">
        <v>11</v>
      </c>
      <c r="K1653" s="1" t="s">
        <v>811</v>
      </c>
      <c r="L1653" s="1" t="s">
        <v>2234</v>
      </c>
      <c r="M1653" s="5"/>
      <c r="N1653" s="5" t="s">
        <v>10</v>
      </c>
      <c r="O1653" s="5" t="s">
        <v>10</v>
      </c>
      <c r="P1653" s="1" t="s">
        <v>5067</v>
      </c>
      <c r="Q1653" s="1" t="s">
        <v>5068</v>
      </c>
      <c r="R1653" s="2" t="s">
        <v>4966</v>
      </c>
      <c r="S1653" s="1" t="s">
        <v>6243</v>
      </c>
      <c r="T1653" s="1">
        <v>2016</v>
      </c>
      <c r="U1653" s="1">
        <v>1339</v>
      </c>
      <c r="V1653" s="1">
        <v>1339</v>
      </c>
      <c r="AH1653" s="1">
        <v>677</v>
      </c>
      <c r="AI1653" s="1">
        <v>677</v>
      </c>
    </row>
    <row r="1654" spans="1:44" x14ac:dyDescent="0.2">
      <c r="A1654" s="1" t="s">
        <v>2131</v>
      </c>
      <c r="B1654" s="1">
        <v>21326311</v>
      </c>
      <c r="C1654" s="1" t="s">
        <v>7420</v>
      </c>
      <c r="E1654" s="21">
        <v>144</v>
      </c>
      <c r="G1654" s="1" t="s">
        <v>2132</v>
      </c>
      <c r="H1654" s="1" t="s">
        <v>7219</v>
      </c>
      <c r="I1654" s="5">
        <v>40591</v>
      </c>
      <c r="J1654" s="18" t="s">
        <v>11</v>
      </c>
      <c r="K1654" s="1" t="s">
        <v>689</v>
      </c>
      <c r="L1654" s="1" t="s">
        <v>2130</v>
      </c>
      <c r="M1654" s="5"/>
      <c r="N1654" s="5" t="s">
        <v>10</v>
      </c>
      <c r="O1654" s="5" t="s">
        <v>10</v>
      </c>
      <c r="P1654" s="1" t="s">
        <v>5474</v>
      </c>
      <c r="Q1654" s="1" t="s">
        <v>33</v>
      </c>
      <c r="R1654" s="2" t="s">
        <v>5017</v>
      </c>
      <c r="S1654" s="1" t="s">
        <v>6440</v>
      </c>
      <c r="T1654" s="1">
        <v>440</v>
      </c>
      <c r="U1654" s="1">
        <v>440</v>
      </c>
      <c r="W1654" s="1">
        <v>440</v>
      </c>
    </row>
    <row r="1655" spans="1:44" x14ac:dyDescent="0.2">
      <c r="A1655" s="1" t="s">
        <v>1329</v>
      </c>
      <c r="B1655" s="1">
        <v>21326860</v>
      </c>
      <c r="C1655" s="1" t="s">
        <v>7420</v>
      </c>
      <c r="E1655" s="21">
        <v>53</v>
      </c>
      <c r="G1655" s="1" t="s">
        <v>678</v>
      </c>
      <c r="H1655" s="1" t="s">
        <v>7088</v>
      </c>
      <c r="I1655" s="5">
        <v>40578</v>
      </c>
      <c r="J1655" s="18" t="s">
        <v>11</v>
      </c>
      <c r="K1655" s="1" t="s">
        <v>181</v>
      </c>
      <c r="L1655" s="1" t="s">
        <v>2127</v>
      </c>
      <c r="M1655" s="5"/>
      <c r="N1655" s="5" t="s">
        <v>10</v>
      </c>
      <c r="O1655" s="5" t="s">
        <v>10</v>
      </c>
      <c r="P1655" s="1" t="s">
        <v>2128</v>
      </c>
      <c r="Q1655" s="1" t="s">
        <v>2129</v>
      </c>
      <c r="R1655" s="2" t="s">
        <v>4363</v>
      </c>
      <c r="S1655" s="1" t="s">
        <v>6242</v>
      </c>
      <c r="T1655" s="1">
        <v>1270</v>
      </c>
      <c r="U1655" s="1">
        <v>696</v>
      </c>
      <c r="X1655" s="1">
        <v>696</v>
      </c>
      <c r="AH1655" s="1">
        <v>574</v>
      </c>
      <c r="AK1655" s="1">
        <v>574</v>
      </c>
    </row>
    <row r="1656" spans="1:44" x14ac:dyDescent="0.2">
      <c r="A1656" s="1" t="s">
        <v>45</v>
      </c>
      <c r="B1656" s="1">
        <v>21339755</v>
      </c>
      <c r="C1656" s="1" t="s">
        <v>7420</v>
      </c>
      <c r="D1656" s="1" t="s">
        <v>7411</v>
      </c>
      <c r="E1656" s="21">
        <v>3</v>
      </c>
      <c r="G1656" s="1" t="s">
        <v>6764</v>
      </c>
      <c r="H1656" s="1" t="s">
        <v>7332</v>
      </c>
      <c r="I1656" s="5">
        <v>40596</v>
      </c>
      <c r="J1656" s="18" t="s">
        <v>11</v>
      </c>
      <c r="K1656" s="1" t="s">
        <v>71</v>
      </c>
      <c r="L1656" s="1" t="s">
        <v>2230</v>
      </c>
      <c r="M1656" s="5"/>
      <c r="N1656" s="5" t="s">
        <v>10</v>
      </c>
      <c r="O1656" s="5" t="s">
        <v>10</v>
      </c>
      <c r="P1656" s="1" t="s">
        <v>3851</v>
      </c>
      <c r="Q1656" s="1" t="s">
        <v>5042</v>
      </c>
      <c r="R1656" s="2" t="s">
        <v>4297</v>
      </c>
      <c r="S1656" s="1" t="s">
        <v>6389</v>
      </c>
      <c r="T1656" s="1">
        <v>106</v>
      </c>
      <c r="U1656" s="1">
        <v>55</v>
      </c>
      <c r="AE1656" s="1">
        <v>55</v>
      </c>
      <c r="AH1656" s="1">
        <v>51</v>
      </c>
      <c r="AI1656" s="1">
        <v>51</v>
      </c>
    </row>
    <row r="1657" spans="1:44" x14ac:dyDescent="0.2">
      <c r="A1657" s="1" t="s">
        <v>2155</v>
      </c>
      <c r="B1657" s="1">
        <v>21346779</v>
      </c>
      <c r="C1657" s="1" t="s">
        <v>7420</v>
      </c>
      <c r="E1657" s="21">
        <v>4</v>
      </c>
      <c r="G1657" s="1" t="s">
        <v>175</v>
      </c>
      <c r="H1657" s="1" t="s">
        <v>7402</v>
      </c>
      <c r="I1657" s="5">
        <v>40598</v>
      </c>
      <c r="J1657" s="18" t="s">
        <v>10</v>
      </c>
      <c r="K1657" s="1" t="s">
        <v>1850</v>
      </c>
      <c r="L1657" s="1" t="s">
        <v>2936</v>
      </c>
      <c r="M1657" s="5"/>
      <c r="N1657" s="5" t="s">
        <v>10</v>
      </c>
      <c r="O1657" s="5" t="s">
        <v>10</v>
      </c>
      <c r="P1657" s="1" t="s">
        <v>5219</v>
      </c>
      <c r="Q1657" s="1" t="s">
        <v>5220</v>
      </c>
      <c r="R1657" s="2" t="s">
        <v>5867</v>
      </c>
      <c r="S1657" s="1" t="s">
        <v>6243</v>
      </c>
      <c r="T1657" s="1">
        <v>9761</v>
      </c>
      <c r="U1657" s="1">
        <v>2793</v>
      </c>
      <c r="V1657" s="1">
        <v>2793</v>
      </c>
      <c r="AH1657" s="1">
        <v>6968</v>
      </c>
      <c r="AI1657" s="1">
        <v>6968</v>
      </c>
    </row>
    <row r="1658" spans="1:44" x14ac:dyDescent="0.2">
      <c r="A1658" s="1" t="s">
        <v>2154</v>
      </c>
      <c r="B1658" s="1">
        <v>21347282</v>
      </c>
      <c r="C1658" s="1" t="s">
        <v>7420</v>
      </c>
      <c r="E1658" s="21">
        <v>630</v>
      </c>
      <c r="G1658" s="1" t="s">
        <v>6786</v>
      </c>
      <c r="H1658" s="1" t="s">
        <v>7380</v>
      </c>
      <c r="I1658" s="5">
        <v>40584</v>
      </c>
      <c r="J1658" s="18" t="s">
        <v>11</v>
      </c>
      <c r="K1658" s="1" t="s">
        <v>65</v>
      </c>
      <c r="L1658" s="1" t="s">
        <v>2152</v>
      </c>
      <c r="M1658" s="5"/>
      <c r="N1658" s="5" t="s">
        <v>10</v>
      </c>
      <c r="O1658" s="5" t="s">
        <v>10</v>
      </c>
      <c r="P1658" s="1" t="s">
        <v>4849</v>
      </c>
      <c r="Q1658" s="1" t="s">
        <v>4850</v>
      </c>
      <c r="R1658" s="2" t="s">
        <v>2153</v>
      </c>
      <c r="S1658" s="1" t="s">
        <v>6440</v>
      </c>
      <c r="T1658" s="1">
        <v>16939</v>
      </c>
      <c r="U1658" s="1">
        <v>8090</v>
      </c>
      <c r="W1658" s="1">
        <v>8090</v>
      </c>
      <c r="AH1658" s="1">
        <v>8849</v>
      </c>
      <c r="AJ1658" s="1">
        <v>8849</v>
      </c>
    </row>
    <row r="1659" spans="1:44" x14ac:dyDescent="0.2">
      <c r="A1659" s="1" t="s">
        <v>1374</v>
      </c>
      <c r="B1659" s="1">
        <v>21347284</v>
      </c>
      <c r="C1659" s="1" t="s">
        <v>7420</v>
      </c>
      <c r="E1659" s="21">
        <v>26</v>
      </c>
      <c r="G1659" s="1" t="s">
        <v>6754</v>
      </c>
      <c r="H1659" s="1" t="s">
        <v>7252</v>
      </c>
      <c r="I1659" s="5">
        <v>40584</v>
      </c>
      <c r="J1659" s="18" t="s">
        <v>11</v>
      </c>
      <c r="K1659" s="1" t="s">
        <v>65</v>
      </c>
      <c r="L1659" s="1" t="s">
        <v>2151</v>
      </c>
      <c r="M1659" s="5"/>
      <c r="N1659" s="5" t="s">
        <v>10</v>
      </c>
      <c r="O1659" s="5" t="s">
        <v>10</v>
      </c>
      <c r="P1659" s="1" t="s">
        <v>4680</v>
      </c>
      <c r="Q1659" s="1" t="s">
        <v>4253</v>
      </c>
      <c r="R1659" s="2" t="s">
        <v>5988</v>
      </c>
      <c r="S1659" s="1" t="s">
        <v>6440</v>
      </c>
      <c r="T1659" s="1">
        <v>8269</v>
      </c>
      <c r="U1659" s="1">
        <v>6247</v>
      </c>
      <c r="W1659" s="1">
        <v>6247</v>
      </c>
      <c r="AH1659" s="1">
        <v>2022</v>
      </c>
      <c r="AJ1659" s="1">
        <v>2022</v>
      </c>
    </row>
    <row r="1660" spans="1:44" x14ac:dyDescent="0.2">
      <c r="A1660" s="1" t="s">
        <v>2149</v>
      </c>
      <c r="B1660" s="1">
        <v>21348951</v>
      </c>
      <c r="C1660" s="1" t="s">
        <v>7420</v>
      </c>
      <c r="E1660" s="21">
        <v>26</v>
      </c>
      <c r="G1660" s="1" t="s">
        <v>2150</v>
      </c>
      <c r="H1660" s="1" t="s">
        <v>7177</v>
      </c>
      <c r="I1660" s="5">
        <v>40575</v>
      </c>
      <c r="J1660" s="18" t="s">
        <v>11</v>
      </c>
      <c r="K1660" s="1" t="s">
        <v>2146</v>
      </c>
      <c r="L1660" s="1" t="s">
        <v>2147</v>
      </c>
      <c r="M1660" s="5"/>
      <c r="N1660" s="5" t="s">
        <v>10</v>
      </c>
      <c r="O1660" s="5" t="s">
        <v>10</v>
      </c>
      <c r="P1660" s="1" t="s">
        <v>2148</v>
      </c>
      <c r="Q1660" s="1" t="s">
        <v>6105</v>
      </c>
      <c r="R1660" s="2" t="s">
        <v>4114</v>
      </c>
      <c r="S1660" s="1" t="s">
        <v>6243</v>
      </c>
      <c r="T1660" s="1">
        <v>2924</v>
      </c>
      <c r="U1660" s="1">
        <v>851</v>
      </c>
      <c r="V1660" s="1">
        <v>851</v>
      </c>
      <c r="AH1660" s="1">
        <v>2073</v>
      </c>
      <c r="AI1660" s="1">
        <v>2073</v>
      </c>
    </row>
    <row r="1661" spans="1:44" x14ac:dyDescent="0.2">
      <c r="A1661" s="1" t="s">
        <v>2157</v>
      </c>
      <c r="B1661" s="1">
        <v>21353194</v>
      </c>
      <c r="C1661" s="1" t="s">
        <v>7420</v>
      </c>
      <c r="E1661" s="21">
        <v>54</v>
      </c>
      <c r="G1661" s="1" t="s">
        <v>112</v>
      </c>
      <c r="H1661" s="1" t="s">
        <v>7145</v>
      </c>
      <c r="I1661" s="5">
        <v>40597</v>
      </c>
      <c r="J1661" s="18" t="s">
        <v>11</v>
      </c>
      <c r="K1661" s="1" t="s">
        <v>16</v>
      </c>
      <c r="L1661" s="1" t="s">
        <v>2156</v>
      </c>
      <c r="M1661" s="5"/>
      <c r="N1661" s="5" t="s">
        <v>10</v>
      </c>
      <c r="O1661" s="5" t="s">
        <v>10</v>
      </c>
      <c r="P1661" s="1" t="s">
        <v>4098</v>
      </c>
      <c r="Q1661" s="1" t="s">
        <v>5572</v>
      </c>
      <c r="R1661" s="2" t="s">
        <v>4099</v>
      </c>
      <c r="S1661" s="1" t="s">
        <v>6243</v>
      </c>
      <c r="T1661" s="1">
        <v>43803</v>
      </c>
      <c r="U1661" s="1">
        <v>1982</v>
      </c>
      <c r="V1661" s="1">
        <v>1982</v>
      </c>
      <c r="AH1661" s="1">
        <v>41821</v>
      </c>
      <c r="AI1661" s="1">
        <v>41821</v>
      </c>
    </row>
    <row r="1662" spans="1:44" x14ac:dyDescent="0.2">
      <c r="A1662" s="1" t="s">
        <v>2251</v>
      </c>
      <c r="B1662" s="1">
        <v>21355061</v>
      </c>
      <c r="C1662" s="1" t="s">
        <v>7420</v>
      </c>
      <c r="E1662" s="21">
        <v>290162</v>
      </c>
      <c r="G1662" s="1" t="s">
        <v>6769</v>
      </c>
      <c r="H1662" s="1" t="s">
        <v>7206</v>
      </c>
      <c r="I1662" s="5">
        <v>40599</v>
      </c>
      <c r="J1662" s="18" t="s">
        <v>11</v>
      </c>
      <c r="K1662" s="1" t="s">
        <v>1551</v>
      </c>
      <c r="L1662" s="1" t="s">
        <v>2250</v>
      </c>
      <c r="M1662" s="5"/>
      <c r="N1662" s="5" t="s">
        <v>10</v>
      </c>
      <c r="O1662" s="5" t="s">
        <v>10</v>
      </c>
      <c r="P1662" s="1" t="s">
        <v>5247</v>
      </c>
      <c r="Q1662" s="1" t="s">
        <v>5248</v>
      </c>
      <c r="R1662" s="2" t="s">
        <v>868</v>
      </c>
      <c r="S1662" s="1" t="s">
        <v>6243</v>
      </c>
      <c r="T1662" s="1">
        <v>62857</v>
      </c>
      <c r="U1662" s="1">
        <v>31580</v>
      </c>
      <c r="V1662" s="1">
        <v>31580</v>
      </c>
      <c r="AH1662" s="1">
        <v>31277</v>
      </c>
      <c r="AI1662" s="1">
        <v>31277</v>
      </c>
    </row>
    <row r="1663" spans="1:44" x14ac:dyDescent="0.2">
      <c r="A1663" s="1" t="s">
        <v>279</v>
      </c>
      <c r="B1663" s="1">
        <v>21357676</v>
      </c>
      <c r="C1663" s="1" t="s">
        <v>7420</v>
      </c>
      <c r="E1663" s="21">
        <v>127</v>
      </c>
      <c r="G1663" s="1" t="s">
        <v>2249</v>
      </c>
      <c r="H1663" s="1" t="s">
        <v>7071</v>
      </c>
      <c r="I1663" s="5">
        <v>40616</v>
      </c>
      <c r="J1663" s="18" t="s">
        <v>11</v>
      </c>
      <c r="K1663" s="1" t="s">
        <v>103</v>
      </c>
      <c r="L1663" s="1" t="s">
        <v>2248</v>
      </c>
      <c r="M1663" s="5"/>
      <c r="N1663" s="5" t="s">
        <v>10</v>
      </c>
      <c r="O1663" s="5" t="s">
        <v>10</v>
      </c>
      <c r="P1663" s="1" t="s">
        <v>6283</v>
      </c>
      <c r="Q1663" s="1" t="s">
        <v>4210</v>
      </c>
      <c r="R1663" s="2" t="s">
        <v>868</v>
      </c>
      <c r="S1663" s="1" t="s">
        <v>6243</v>
      </c>
      <c r="T1663" s="1">
        <v>10661</v>
      </c>
      <c r="U1663" s="1">
        <v>6611</v>
      </c>
      <c r="V1663" s="1">
        <v>6611</v>
      </c>
      <c r="AH1663" s="1">
        <v>4050</v>
      </c>
      <c r="AI1663" s="1">
        <v>4050</v>
      </c>
    </row>
    <row r="1664" spans="1:44" x14ac:dyDescent="0.2">
      <c r="A1664" s="1" t="s">
        <v>2160</v>
      </c>
      <c r="B1664" s="1">
        <v>21359210</v>
      </c>
      <c r="C1664" s="1" t="s">
        <v>7420</v>
      </c>
      <c r="E1664" s="21">
        <v>36</v>
      </c>
      <c r="G1664" s="1" t="s">
        <v>6788</v>
      </c>
      <c r="H1664" s="1" t="s">
        <v>7053</v>
      </c>
      <c r="I1664" s="5">
        <v>40590</v>
      </c>
      <c r="J1664" s="18" t="s">
        <v>11</v>
      </c>
      <c r="K1664" s="1" t="s">
        <v>181</v>
      </c>
      <c r="L1664" s="1" t="s">
        <v>2159</v>
      </c>
      <c r="M1664" s="5"/>
      <c r="N1664" s="5" t="s">
        <v>10</v>
      </c>
      <c r="O1664" s="5" t="s">
        <v>10</v>
      </c>
      <c r="P1664" s="1" t="s">
        <v>5128</v>
      </c>
      <c r="Q1664" s="1" t="s">
        <v>6358</v>
      </c>
      <c r="R1664" s="2" t="s">
        <v>4950</v>
      </c>
      <c r="S1664" s="1" t="s">
        <v>6389</v>
      </c>
      <c r="T1664" s="1">
        <v>348</v>
      </c>
      <c r="U1664" s="1">
        <v>269</v>
      </c>
      <c r="V1664" s="1">
        <v>269</v>
      </c>
      <c r="AH1664" s="1">
        <v>79</v>
      </c>
      <c r="AR1664" s="1">
        <v>79</v>
      </c>
    </row>
    <row r="1665" spans="1:44" x14ac:dyDescent="0.2">
      <c r="A1665" s="1" t="s">
        <v>2253</v>
      </c>
      <c r="B1665" s="1">
        <v>21364930</v>
      </c>
      <c r="C1665" s="1" t="s">
        <v>7420</v>
      </c>
      <c r="E1665" s="21">
        <v>18</v>
      </c>
      <c r="G1665" s="1" t="s">
        <v>2254</v>
      </c>
      <c r="H1665" s="1" t="s">
        <v>7172</v>
      </c>
      <c r="I1665" s="5">
        <v>40599</v>
      </c>
      <c r="J1665" s="18" t="s">
        <v>11</v>
      </c>
      <c r="K1665" s="1" t="s">
        <v>181</v>
      </c>
      <c r="L1665" s="1" t="s">
        <v>2252</v>
      </c>
      <c r="M1665" s="5"/>
      <c r="N1665" s="5" t="s">
        <v>10</v>
      </c>
      <c r="O1665" s="5" t="s">
        <v>10</v>
      </c>
      <c r="P1665" s="1" t="s">
        <v>5519</v>
      </c>
      <c r="Q1665" s="1" t="s">
        <v>6359</v>
      </c>
      <c r="R1665" s="2" t="s">
        <v>4440</v>
      </c>
      <c r="S1665" s="1" t="s">
        <v>6243</v>
      </c>
      <c r="T1665" s="1">
        <v>222</v>
      </c>
      <c r="U1665" s="1">
        <v>191</v>
      </c>
      <c r="V1665" s="1">
        <v>191</v>
      </c>
      <c r="AH1665" s="1">
        <v>31</v>
      </c>
      <c r="AI1665" s="1">
        <v>31</v>
      </c>
    </row>
    <row r="1666" spans="1:44" x14ac:dyDescent="0.2">
      <c r="A1666" s="1" t="s">
        <v>2243</v>
      </c>
      <c r="B1666" s="1">
        <v>21368711</v>
      </c>
      <c r="C1666" s="1" t="s">
        <v>7420</v>
      </c>
      <c r="E1666" s="21">
        <v>6</v>
      </c>
      <c r="G1666" s="1" t="s">
        <v>2244</v>
      </c>
      <c r="H1666" s="1" t="s">
        <v>7145</v>
      </c>
      <c r="I1666" s="5">
        <v>40604</v>
      </c>
      <c r="J1666" s="18" t="s">
        <v>11</v>
      </c>
      <c r="K1666" s="1" t="s">
        <v>1520</v>
      </c>
      <c r="L1666" s="1" t="s">
        <v>2242</v>
      </c>
      <c r="M1666" s="5"/>
      <c r="N1666" s="5" t="s">
        <v>10</v>
      </c>
      <c r="O1666" s="5" t="s">
        <v>10</v>
      </c>
      <c r="P1666" s="1" t="s">
        <v>5431</v>
      </c>
      <c r="Q1666" s="1" t="s">
        <v>33</v>
      </c>
      <c r="R1666" s="2" t="s">
        <v>4289</v>
      </c>
      <c r="S1666" s="1" t="s">
        <v>6243</v>
      </c>
      <c r="T1666" s="1">
        <v>1007</v>
      </c>
      <c r="U1666" s="1">
        <v>1007</v>
      </c>
      <c r="V1666" s="1">
        <v>1007</v>
      </c>
    </row>
    <row r="1667" spans="1:44" x14ac:dyDescent="0.2">
      <c r="A1667" s="1" t="s">
        <v>2247</v>
      </c>
      <c r="B1667" s="1">
        <v>21372407</v>
      </c>
      <c r="C1667" s="1" t="s">
        <v>7420</v>
      </c>
      <c r="E1667" s="21">
        <v>112</v>
      </c>
      <c r="G1667" s="1" t="s">
        <v>2110</v>
      </c>
      <c r="H1667" s="1" t="s">
        <v>7207</v>
      </c>
      <c r="I1667" s="5">
        <v>40603</v>
      </c>
      <c r="J1667" s="18" t="s">
        <v>11</v>
      </c>
      <c r="K1667" s="1" t="s">
        <v>830</v>
      </c>
      <c r="L1667" s="1" t="s">
        <v>2245</v>
      </c>
      <c r="M1667" s="5"/>
      <c r="N1667" s="5" t="s">
        <v>10</v>
      </c>
      <c r="O1667" s="5" t="s">
        <v>10</v>
      </c>
      <c r="P1667" s="1" t="s">
        <v>2246</v>
      </c>
      <c r="Q1667" s="1" t="s">
        <v>4268</v>
      </c>
      <c r="R1667" s="2" t="s">
        <v>4687</v>
      </c>
      <c r="S1667" s="1" t="s">
        <v>6242</v>
      </c>
      <c r="T1667" s="1">
        <v>7128</v>
      </c>
      <c r="U1667" s="1">
        <v>1462</v>
      </c>
      <c r="X1667" s="1">
        <v>1462</v>
      </c>
      <c r="AH1667" s="1">
        <v>5666</v>
      </c>
      <c r="AK1667" s="1">
        <v>5666</v>
      </c>
    </row>
    <row r="1668" spans="1:44" x14ac:dyDescent="0.2">
      <c r="A1668" s="1" t="s">
        <v>244</v>
      </c>
      <c r="B1668" s="1">
        <v>21378095</v>
      </c>
      <c r="C1668" s="1" t="s">
        <v>7420</v>
      </c>
      <c r="E1668" s="21">
        <v>159</v>
      </c>
      <c r="G1668" s="1" t="s">
        <v>655</v>
      </c>
      <c r="H1668" s="1" t="s">
        <v>7222</v>
      </c>
      <c r="I1668" s="5">
        <v>40606</v>
      </c>
      <c r="J1668" s="18" t="s">
        <v>11</v>
      </c>
      <c r="K1668" s="1" t="s">
        <v>103</v>
      </c>
      <c r="L1668" s="1" t="s">
        <v>2175</v>
      </c>
      <c r="M1668" s="5"/>
      <c r="N1668" s="5" t="s">
        <v>10</v>
      </c>
      <c r="O1668" s="5" t="s">
        <v>10</v>
      </c>
      <c r="P1668" s="1" t="s">
        <v>4766</v>
      </c>
      <c r="Q1668" s="1" t="s">
        <v>4100</v>
      </c>
      <c r="R1668" s="2" t="s">
        <v>2176</v>
      </c>
      <c r="S1668" s="1" t="s">
        <v>6440</v>
      </c>
      <c r="T1668" s="1">
        <v>19355</v>
      </c>
      <c r="U1668" s="1">
        <v>7473</v>
      </c>
      <c r="W1668" s="1">
        <v>7473</v>
      </c>
      <c r="AH1668" s="1">
        <v>11882</v>
      </c>
      <c r="AJ1668" s="1">
        <v>11882</v>
      </c>
    </row>
    <row r="1669" spans="1:44" x14ac:dyDescent="0.2">
      <c r="A1669" s="1" t="s">
        <v>1543</v>
      </c>
      <c r="B1669" s="1">
        <v>21378986</v>
      </c>
      <c r="C1669" s="1" t="s">
        <v>7420</v>
      </c>
      <c r="E1669" s="21">
        <v>15</v>
      </c>
      <c r="G1669" s="1" t="s">
        <v>165</v>
      </c>
      <c r="H1669" s="1" t="s">
        <v>7192</v>
      </c>
      <c r="I1669" s="5">
        <v>40608</v>
      </c>
      <c r="J1669" s="18" t="s">
        <v>11</v>
      </c>
      <c r="K1669" s="1" t="s">
        <v>28</v>
      </c>
      <c r="L1669" s="1" t="s">
        <v>2173</v>
      </c>
      <c r="M1669" s="5"/>
      <c r="N1669" s="5" t="s">
        <v>10</v>
      </c>
      <c r="O1669" s="5" t="s">
        <v>10</v>
      </c>
      <c r="P1669" s="1" t="s">
        <v>2174</v>
      </c>
      <c r="Q1669" s="1" t="s">
        <v>4451</v>
      </c>
      <c r="R1669" s="2" t="s">
        <v>5007</v>
      </c>
      <c r="S1669" s="1" t="s">
        <v>6242</v>
      </c>
      <c r="T1669" s="1">
        <v>8053</v>
      </c>
      <c r="U1669" s="1">
        <v>460</v>
      </c>
      <c r="X1669" s="1">
        <v>460</v>
      </c>
      <c r="AH1669" s="1">
        <v>7593</v>
      </c>
      <c r="AK1669" s="1">
        <v>7593</v>
      </c>
    </row>
    <row r="1670" spans="1:44" x14ac:dyDescent="0.2">
      <c r="A1670" s="1" t="s">
        <v>1262</v>
      </c>
      <c r="B1670" s="1">
        <v>21378987</v>
      </c>
      <c r="C1670" s="1" t="s">
        <v>7420</v>
      </c>
      <c r="E1670" s="21">
        <v>5</v>
      </c>
      <c r="G1670" s="1" t="s">
        <v>2239</v>
      </c>
      <c r="H1670" s="1" t="s">
        <v>7168</v>
      </c>
      <c r="I1670" s="5">
        <v>40608</v>
      </c>
      <c r="J1670" s="18" t="s">
        <v>11</v>
      </c>
      <c r="K1670" s="1" t="s">
        <v>28</v>
      </c>
      <c r="L1670" s="1" t="s">
        <v>2237</v>
      </c>
      <c r="M1670" s="5"/>
      <c r="N1670" s="5" t="s">
        <v>10</v>
      </c>
      <c r="O1670" s="5" t="s">
        <v>10</v>
      </c>
      <c r="P1670" s="1" t="s">
        <v>4770</v>
      </c>
      <c r="Q1670" s="1" t="s">
        <v>4108</v>
      </c>
      <c r="R1670" s="2" t="s">
        <v>2238</v>
      </c>
      <c r="S1670" s="1" t="s">
        <v>6243</v>
      </c>
      <c r="T1670" s="1">
        <v>40038</v>
      </c>
      <c r="U1670" s="1">
        <v>38384</v>
      </c>
      <c r="V1670" s="1">
        <v>38384</v>
      </c>
      <c r="AH1670" s="1">
        <v>1654</v>
      </c>
      <c r="AI1670" s="1">
        <v>1654</v>
      </c>
    </row>
    <row r="1671" spans="1:44" x14ac:dyDescent="0.2">
      <c r="A1671" s="1" t="s">
        <v>2694</v>
      </c>
      <c r="B1671" s="1">
        <v>21378988</v>
      </c>
      <c r="C1671" s="1" t="s">
        <v>7420</v>
      </c>
      <c r="E1671" s="21">
        <v>86</v>
      </c>
      <c r="G1671" s="1" t="s">
        <v>9</v>
      </c>
      <c r="H1671" s="1" t="s">
        <v>7192</v>
      </c>
      <c r="I1671" s="5">
        <v>40608</v>
      </c>
      <c r="J1671" s="18" t="s">
        <v>11</v>
      </c>
      <c r="K1671" s="1" t="s">
        <v>28</v>
      </c>
      <c r="L1671" s="1" t="s">
        <v>2705</v>
      </c>
      <c r="N1671" s="5" t="s">
        <v>10</v>
      </c>
      <c r="O1671" s="5" t="s">
        <v>10</v>
      </c>
      <c r="P1671" s="1" t="s">
        <v>5394</v>
      </c>
      <c r="Q1671" s="1" t="s">
        <v>5395</v>
      </c>
      <c r="R1671" s="2" t="s">
        <v>4502</v>
      </c>
      <c r="S1671" s="1" t="s">
        <v>6244</v>
      </c>
      <c r="T1671" s="1">
        <v>71075</v>
      </c>
      <c r="U1671" s="1">
        <v>30482</v>
      </c>
      <c r="V1671" s="1">
        <v>15692</v>
      </c>
      <c r="Y1671" s="1">
        <v>14790</v>
      </c>
      <c r="AH1671" s="1">
        <v>40593</v>
      </c>
      <c r="AI1671" s="1">
        <v>34406</v>
      </c>
      <c r="AL1671" s="1">
        <v>6187</v>
      </c>
    </row>
    <row r="1672" spans="1:44" x14ac:dyDescent="0.2">
      <c r="A1672" s="1" t="s">
        <v>2693</v>
      </c>
      <c r="B1672" s="1">
        <v>21378990</v>
      </c>
      <c r="C1672" s="1" t="s">
        <v>7420</v>
      </c>
      <c r="E1672" s="21">
        <v>237</v>
      </c>
      <c r="G1672" s="1" t="s">
        <v>9</v>
      </c>
      <c r="H1672" s="1" t="s">
        <v>7192</v>
      </c>
      <c r="I1672" s="5">
        <v>40608</v>
      </c>
      <c r="J1672" s="18" t="s">
        <v>11</v>
      </c>
      <c r="K1672" s="1" t="s">
        <v>28</v>
      </c>
      <c r="L1672" s="1" t="s">
        <v>2706</v>
      </c>
      <c r="N1672" s="5" t="s">
        <v>10</v>
      </c>
      <c r="O1672" s="5" t="s">
        <v>10</v>
      </c>
      <c r="P1672" s="1" t="s">
        <v>5208</v>
      </c>
      <c r="Q1672" s="1" t="s">
        <v>6360</v>
      </c>
      <c r="R1672" s="2" t="s">
        <v>5961</v>
      </c>
      <c r="S1672" s="1" t="s">
        <v>6389</v>
      </c>
      <c r="T1672" s="1">
        <v>145618</v>
      </c>
      <c r="U1672" s="1">
        <v>86995</v>
      </c>
      <c r="V1672" s="1">
        <v>86995</v>
      </c>
      <c r="AH1672" s="1">
        <v>58623</v>
      </c>
      <c r="AR1672" s="1">
        <v>58623</v>
      </c>
    </row>
    <row r="1673" spans="1:44" x14ac:dyDescent="0.2">
      <c r="A1673" s="1" t="s">
        <v>2172</v>
      </c>
      <c r="B1673" s="1">
        <v>21379329</v>
      </c>
      <c r="C1673" s="1" t="s">
        <v>7420</v>
      </c>
      <c r="E1673" s="21">
        <v>1554</v>
      </c>
      <c r="G1673" s="1" t="s">
        <v>128</v>
      </c>
      <c r="H1673" s="1" t="s">
        <v>7126</v>
      </c>
      <c r="I1673" s="5">
        <v>40591</v>
      </c>
      <c r="J1673" s="18" t="s">
        <v>11</v>
      </c>
      <c r="K1673" s="1" t="s">
        <v>65</v>
      </c>
      <c r="L1673" s="1" t="s">
        <v>2170</v>
      </c>
      <c r="M1673" s="5"/>
      <c r="N1673" s="5" t="s">
        <v>10</v>
      </c>
      <c r="O1673" s="5" t="s">
        <v>10</v>
      </c>
      <c r="P1673" s="1" t="s">
        <v>4023</v>
      </c>
      <c r="Q1673" s="1" t="s">
        <v>2171</v>
      </c>
      <c r="R1673" s="2" t="s">
        <v>4558</v>
      </c>
      <c r="S1673" s="1" t="s">
        <v>6244</v>
      </c>
      <c r="T1673" s="1">
        <v>5029</v>
      </c>
      <c r="U1673" s="1">
        <v>3839</v>
      </c>
      <c r="V1673" s="1">
        <v>3839</v>
      </c>
      <c r="AH1673" s="1">
        <v>1190</v>
      </c>
      <c r="AI1673" s="1">
        <v>772</v>
      </c>
      <c r="AM1673" s="1">
        <v>418</v>
      </c>
    </row>
    <row r="1674" spans="1:44" x14ac:dyDescent="0.2">
      <c r="A1674" s="1" t="s">
        <v>2178</v>
      </c>
      <c r="B1674" s="1">
        <v>21383967</v>
      </c>
      <c r="C1674" s="1" t="s">
        <v>7420</v>
      </c>
      <c r="E1674" s="21">
        <v>326</v>
      </c>
      <c r="G1674" s="1" t="s">
        <v>2179</v>
      </c>
      <c r="H1674" s="1" t="s">
        <v>7338</v>
      </c>
      <c r="I1674" s="5">
        <v>40598</v>
      </c>
      <c r="J1674" s="18" t="s">
        <v>11</v>
      </c>
      <c r="K1674" s="1" t="s">
        <v>65</v>
      </c>
      <c r="L1674" s="1" t="s">
        <v>2177</v>
      </c>
      <c r="M1674" s="5"/>
      <c r="N1674" s="5" t="s">
        <v>10</v>
      </c>
      <c r="O1674" s="5" t="s">
        <v>10</v>
      </c>
      <c r="P1674" s="1" t="s">
        <v>5280</v>
      </c>
      <c r="Q1674" s="1" t="s">
        <v>6361</v>
      </c>
      <c r="R1674" s="2" t="s">
        <v>4239</v>
      </c>
      <c r="S1674" s="1" t="s">
        <v>6243</v>
      </c>
      <c r="T1674" s="1">
        <v>50266</v>
      </c>
      <c r="U1674" s="1">
        <v>38053</v>
      </c>
      <c r="V1674" s="1">
        <v>38053</v>
      </c>
      <c r="AH1674" s="1">
        <v>12213</v>
      </c>
      <c r="AI1674" s="1">
        <v>12213</v>
      </c>
    </row>
    <row r="1675" spans="1:44" x14ac:dyDescent="0.2">
      <c r="A1675" s="1" t="s">
        <v>2259</v>
      </c>
      <c r="B1675" s="1">
        <v>21386085</v>
      </c>
      <c r="C1675" s="1" t="s">
        <v>7420</v>
      </c>
      <c r="E1675" s="21">
        <v>52</v>
      </c>
      <c r="G1675" s="1" t="s">
        <v>6868</v>
      </c>
      <c r="H1675" s="1" t="s">
        <v>7386</v>
      </c>
      <c r="I1675" s="5">
        <v>40641</v>
      </c>
      <c r="J1675" s="18" t="s">
        <v>11</v>
      </c>
      <c r="K1675" s="1" t="s">
        <v>90</v>
      </c>
      <c r="L1675" s="1" t="s">
        <v>2258</v>
      </c>
      <c r="M1675" s="5"/>
      <c r="N1675" s="5" t="s">
        <v>10</v>
      </c>
      <c r="O1675" s="5" t="s">
        <v>10</v>
      </c>
      <c r="P1675" s="1" t="s">
        <v>5207</v>
      </c>
      <c r="Q1675" s="1" t="s">
        <v>33</v>
      </c>
      <c r="R1675" s="2" t="s">
        <v>868</v>
      </c>
      <c r="S1675" s="1" t="s">
        <v>6243</v>
      </c>
      <c r="T1675" s="1">
        <v>22161</v>
      </c>
      <c r="U1675" s="1">
        <v>22161</v>
      </c>
      <c r="V1675" s="1">
        <v>22161</v>
      </c>
    </row>
    <row r="1676" spans="1:44" x14ac:dyDescent="0.2">
      <c r="A1676" s="1" t="s">
        <v>2241</v>
      </c>
      <c r="B1676" s="1">
        <v>21386754</v>
      </c>
      <c r="C1676" s="1" t="s">
        <v>7420</v>
      </c>
      <c r="E1676" s="21">
        <v>26</v>
      </c>
      <c r="G1676" s="1" t="s">
        <v>6947</v>
      </c>
      <c r="H1676" s="1" t="s">
        <v>7159</v>
      </c>
      <c r="I1676" s="5">
        <v>40608</v>
      </c>
      <c r="J1676" s="18" t="s">
        <v>11</v>
      </c>
      <c r="K1676" s="1" t="s">
        <v>294</v>
      </c>
      <c r="L1676" s="1" t="s">
        <v>2240</v>
      </c>
      <c r="M1676" s="5"/>
      <c r="N1676" s="5" t="s">
        <v>10</v>
      </c>
      <c r="O1676" s="5" t="s">
        <v>10</v>
      </c>
      <c r="P1676" s="1" t="s">
        <v>5518</v>
      </c>
      <c r="Q1676" s="1" t="s">
        <v>33</v>
      </c>
      <c r="R1676" s="2" t="s">
        <v>4187</v>
      </c>
      <c r="S1676" s="1" t="s">
        <v>6243</v>
      </c>
      <c r="T1676" s="1">
        <v>917</v>
      </c>
      <c r="U1676" s="1">
        <v>917</v>
      </c>
      <c r="V1676" s="1">
        <v>917</v>
      </c>
    </row>
    <row r="1677" spans="1:44" x14ac:dyDescent="0.2">
      <c r="A1677" s="1" t="s">
        <v>2181</v>
      </c>
      <c r="B1677" s="1">
        <v>21390209</v>
      </c>
      <c r="C1677" s="1" t="s">
        <v>7420</v>
      </c>
      <c r="E1677" s="21">
        <v>25236</v>
      </c>
      <c r="G1677" s="1" t="s">
        <v>89</v>
      </c>
      <c r="H1677" s="1" t="s">
        <v>7126</v>
      </c>
      <c r="I1677" s="5">
        <v>40598</v>
      </c>
      <c r="J1677" s="18" t="s">
        <v>11</v>
      </c>
      <c r="K1677" s="1" t="s">
        <v>181</v>
      </c>
      <c r="L1677" s="1" t="s">
        <v>2180</v>
      </c>
      <c r="M1677" s="5"/>
      <c r="N1677" s="5" t="s">
        <v>10</v>
      </c>
      <c r="O1677" s="5" t="s">
        <v>10</v>
      </c>
      <c r="P1677" s="1" t="s">
        <v>6205</v>
      </c>
      <c r="Q1677" s="1" t="s">
        <v>6206</v>
      </c>
      <c r="R1677" s="2" t="s">
        <v>6473</v>
      </c>
      <c r="S1677" s="1" t="s">
        <v>6243</v>
      </c>
      <c r="T1677" s="1">
        <v>5097</v>
      </c>
      <c r="U1677" s="1">
        <v>3595</v>
      </c>
      <c r="V1677" s="1">
        <v>3595</v>
      </c>
      <c r="AH1677" s="1">
        <v>1502</v>
      </c>
      <c r="AI1677" s="1">
        <v>1502</v>
      </c>
    </row>
    <row r="1678" spans="1:44" x14ac:dyDescent="0.2">
      <c r="A1678" s="1" t="s">
        <v>2186</v>
      </c>
      <c r="B1678" s="1">
        <v>21396408</v>
      </c>
      <c r="C1678" s="1" t="s">
        <v>7420</v>
      </c>
      <c r="E1678" s="21">
        <v>30</v>
      </c>
      <c r="G1678" s="1" t="s">
        <v>2187</v>
      </c>
      <c r="H1678" s="1" t="s">
        <v>7179</v>
      </c>
      <c r="I1678" s="5">
        <v>40610</v>
      </c>
      <c r="J1678" s="18" t="s">
        <v>11</v>
      </c>
      <c r="K1678" s="1" t="s">
        <v>2184</v>
      </c>
      <c r="L1678" s="1" t="s">
        <v>2185</v>
      </c>
      <c r="M1678" s="5"/>
      <c r="N1678" s="5" t="s">
        <v>10</v>
      </c>
      <c r="O1678" s="5" t="s">
        <v>10</v>
      </c>
      <c r="P1678" s="1" t="s">
        <v>5641</v>
      </c>
      <c r="Q1678" s="1" t="s">
        <v>33</v>
      </c>
      <c r="R1678" s="2" t="s">
        <v>4841</v>
      </c>
      <c r="S1678" s="1" t="s">
        <v>6243</v>
      </c>
      <c r="T1678" s="1">
        <v>67</v>
      </c>
      <c r="U1678" s="1">
        <v>67</v>
      </c>
      <c r="V1678" s="1">
        <v>67</v>
      </c>
    </row>
    <row r="1679" spans="1:44" x14ac:dyDescent="0.2">
      <c r="A1679" s="1" t="s">
        <v>2261</v>
      </c>
      <c r="B1679" s="1">
        <v>21399633</v>
      </c>
      <c r="C1679" s="1" t="s">
        <v>7420</v>
      </c>
      <c r="E1679" s="21">
        <v>27</v>
      </c>
      <c r="G1679" s="1" t="s">
        <v>2262</v>
      </c>
      <c r="H1679" s="1" t="s">
        <v>13</v>
      </c>
      <c r="I1679" s="5">
        <v>40615</v>
      </c>
      <c r="J1679" s="18" t="s">
        <v>11</v>
      </c>
      <c r="K1679" s="1" t="s">
        <v>28</v>
      </c>
      <c r="L1679" s="1" t="s">
        <v>2260</v>
      </c>
      <c r="M1679" s="5"/>
      <c r="N1679" s="5" t="s">
        <v>10</v>
      </c>
      <c r="O1679" s="5" t="s">
        <v>10</v>
      </c>
      <c r="P1679" s="1" t="s">
        <v>3973</v>
      </c>
      <c r="Q1679" s="1" t="s">
        <v>5058</v>
      </c>
      <c r="R1679" s="2" t="s">
        <v>4807</v>
      </c>
      <c r="S1679" s="1" t="s">
        <v>6244</v>
      </c>
      <c r="T1679" s="1">
        <v>5966</v>
      </c>
      <c r="U1679" s="1">
        <v>2096</v>
      </c>
      <c r="X1679" s="1">
        <v>2096</v>
      </c>
      <c r="AH1679" s="1">
        <v>3870</v>
      </c>
      <c r="AI1679" s="1">
        <v>2410</v>
      </c>
      <c r="AK1679" s="1">
        <v>1460</v>
      </c>
    </row>
    <row r="1680" spans="1:44" x14ac:dyDescent="0.2">
      <c r="A1680" s="1" t="s">
        <v>2183</v>
      </c>
      <c r="B1680" s="1">
        <v>21399635</v>
      </c>
      <c r="C1680" s="1" t="s">
        <v>7420</v>
      </c>
      <c r="E1680" s="21">
        <v>102</v>
      </c>
      <c r="G1680" s="1" t="s">
        <v>896</v>
      </c>
      <c r="H1680" s="1" t="s">
        <v>897</v>
      </c>
      <c r="I1680" s="5">
        <v>40615</v>
      </c>
      <c r="J1680" s="18" t="s">
        <v>11</v>
      </c>
      <c r="K1680" s="1" t="s">
        <v>28</v>
      </c>
      <c r="L1680" s="1" t="s">
        <v>2182</v>
      </c>
      <c r="M1680" s="5"/>
      <c r="N1680" s="5" t="s">
        <v>10</v>
      </c>
      <c r="O1680" s="5" t="s">
        <v>10</v>
      </c>
      <c r="P1680" s="1" t="s">
        <v>5104</v>
      </c>
      <c r="Q1680" s="1" t="s">
        <v>5105</v>
      </c>
      <c r="R1680" s="2" t="s">
        <v>4729</v>
      </c>
      <c r="S1680" s="1" t="s">
        <v>6243</v>
      </c>
      <c r="T1680" s="1">
        <v>15722</v>
      </c>
      <c r="U1680" s="1">
        <v>12588</v>
      </c>
      <c r="V1680" s="1">
        <v>12588</v>
      </c>
      <c r="AH1680" s="1">
        <v>3134</v>
      </c>
      <c r="AI1680" s="1">
        <v>3134</v>
      </c>
    </row>
    <row r="1681" spans="1:37" x14ac:dyDescent="0.2">
      <c r="A1681" s="1" t="s">
        <v>1269</v>
      </c>
      <c r="B1681" s="1">
        <v>21408207</v>
      </c>
      <c r="C1681" s="1" t="s">
        <v>7420</v>
      </c>
      <c r="E1681" s="21">
        <v>78</v>
      </c>
      <c r="G1681" s="1" t="s">
        <v>218</v>
      </c>
      <c r="H1681" s="1" t="s">
        <v>7376</v>
      </c>
      <c r="I1681" s="5">
        <v>40605</v>
      </c>
      <c r="J1681" s="18" t="s">
        <v>11</v>
      </c>
      <c r="K1681" s="1" t="s">
        <v>65</v>
      </c>
      <c r="L1681" s="1" t="s">
        <v>2188</v>
      </c>
      <c r="M1681" s="5"/>
      <c r="N1681" s="5" t="s">
        <v>10</v>
      </c>
      <c r="O1681" s="5" t="s">
        <v>10</v>
      </c>
      <c r="P1681" s="1" t="s">
        <v>5574</v>
      </c>
      <c r="Q1681" s="1" t="s">
        <v>33</v>
      </c>
      <c r="R1681" s="2" t="s">
        <v>4111</v>
      </c>
      <c r="S1681" s="1" t="s">
        <v>6243</v>
      </c>
      <c r="T1681" s="1">
        <v>6530</v>
      </c>
      <c r="U1681" s="1">
        <v>6530</v>
      </c>
      <c r="V1681" s="1">
        <v>6530</v>
      </c>
    </row>
    <row r="1682" spans="1:37" x14ac:dyDescent="0.2">
      <c r="A1682" s="1" t="s">
        <v>2197</v>
      </c>
      <c r="B1682" s="1">
        <v>21418511</v>
      </c>
      <c r="C1682" s="1" t="s">
        <v>7420</v>
      </c>
      <c r="E1682" s="21">
        <v>227</v>
      </c>
      <c r="G1682" s="1" t="s">
        <v>1387</v>
      </c>
      <c r="H1682" s="1" t="s">
        <v>2428</v>
      </c>
      <c r="I1682" s="5">
        <v>40614</v>
      </c>
      <c r="J1682" s="18" t="s">
        <v>10</v>
      </c>
      <c r="K1682" s="1" t="s">
        <v>2937</v>
      </c>
      <c r="L1682" s="1" t="s">
        <v>2938</v>
      </c>
      <c r="M1682" s="5"/>
      <c r="N1682" s="5" t="s">
        <v>10</v>
      </c>
      <c r="O1682" s="5" t="s">
        <v>10</v>
      </c>
      <c r="P1682" s="1" t="s">
        <v>3643</v>
      </c>
      <c r="Q1682" s="1" t="s">
        <v>3644</v>
      </c>
      <c r="R1682" s="6" t="s">
        <v>4628</v>
      </c>
      <c r="S1682" s="1" t="s">
        <v>6243</v>
      </c>
      <c r="T1682" s="1">
        <v>13804</v>
      </c>
      <c r="U1682" s="1">
        <v>2073</v>
      </c>
      <c r="V1682" s="1">
        <v>2073</v>
      </c>
      <c r="AH1682" s="1">
        <v>11731</v>
      </c>
      <c r="AI1682" s="1">
        <v>11731</v>
      </c>
    </row>
    <row r="1683" spans="1:37" x14ac:dyDescent="0.2">
      <c r="A1683" s="1" t="s">
        <v>2195</v>
      </c>
      <c r="B1683" s="1">
        <v>21422096</v>
      </c>
      <c r="C1683" s="1" t="s">
        <v>7420</v>
      </c>
      <c r="E1683" s="21">
        <v>38</v>
      </c>
      <c r="G1683" s="1" t="s">
        <v>2196</v>
      </c>
      <c r="H1683" s="1" t="s">
        <v>7222</v>
      </c>
      <c r="I1683" s="5">
        <v>40623</v>
      </c>
      <c r="J1683" s="18" t="s">
        <v>10</v>
      </c>
      <c r="K1683" s="1" t="s">
        <v>103</v>
      </c>
      <c r="L1683" s="1" t="s">
        <v>2939</v>
      </c>
      <c r="M1683" s="5"/>
      <c r="N1683" s="5" t="s">
        <v>10</v>
      </c>
      <c r="O1683" s="5" t="s">
        <v>10</v>
      </c>
      <c r="P1683" s="1" t="s">
        <v>5478</v>
      </c>
      <c r="Q1683" s="1" t="s">
        <v>5479</v>
      </c>
      <c r="R1683" s="2" t="s">
        <v>4490</v>
      </c>
      <c r="S1683" s="1" t="s">
        <v>6440</v>
      </c>
      <c r="T1683" s="1">
        <v>18189</v>
      </c>
      <c r="U1683" s="1">
        <v>6303</v>
      </c>
      <c r="W1683" s="1">
        <v>6303</v>
      </c>
      <c r="AH1683" s="1">
        <v>11886</v>
      </c>
      <c r="AJ1683" s="1">
        <v>11886</v>
      </c>
    </row>
    <row r="1684" spans="1:37" x14ac:dyDescent="0.2">
      <c r="A1684" s="1" t="s">
        <v>2194</v>
      </c>
      <c r="B1684" s="1">
        <v>21423239</v>
      </c>
      <c r="C1684" s="1" t="s">
        <v>7420</v>
      </c>
      <c r="E1684" s="21">
        <v>12412</v>
      </c>
      <c r="G1684" s="1" t="s">
        <v>6962</v>
      </c>
      <c r="H1684" s="1" t="s">
        <v>7152</v>
      </c>
      <c r="I1684" s="5">
        <v>40624</v>
      </c>
      <c r="J1684" s="18" t="s">
        <v>11</v>
      </c>
      <c r="K1684" s="1" t="s">
        <v>71</v>
      </c>
      <c r="L1684" s="1" t="s">
        <v>2193</v>
      </c>
      <c r="M1684" s="5"/>
      <c r="N1684" s="5" t="s">
        <v>10</v>
      </c>
      <c r="O1684" s="5" t="s">
        <v>10</v>
      </c>
      <c r="P1684" s="1" t="s">
        <v>5059</v>
      </c>
      <c r="Q1684" s="1" t="s">
        <v>6362</v>
      </c>
      <c r="R1684" s="2" t="s">
        <v>4808</v>
      </c>
      <c r="S1684" s="1" t="s">
        <v>6243</v>
      </c>
      <c r="T1684" s="1">
        <v>5815</v>
      </c>
      <c r="U1684" s="1">
        <v>2698</v>
      </c>
      <c r="V1684" s="1">
        <v>2698</v>
      </c>
      <c r="AH1684" s="1">
        <v>3117</v>
      </c>
      <c r="AI1684" s="1">
        <v>3117</v>
      </c>
    </row>
    <row r="1685" spans="1:37" x14ac:dyDescent="0.2">
      <c r="A1685" s="1" t="s">
        <v>1834</v>
      </c>
      <c r="B1685" s="1">
        <v>21423719</v>
      </c>
      <c r="C1685" s="1" t="s">
        <v>7420</v>
      </c>
      <c r="E1685" s="21">
        <v>121</v>
      </c>
      <c r="G1685" s="1" t="s">
        <v>6635</v>
      </c>
      <c r="H1685" s="1" t="s">
        <v>1641</v>
      </c>
      <c r="I1685" s="5">
        <v>40612</v>
      </c>
      <c r="J1685" s="18" t="s">
        <v>11</v>
      </c>
      <c r="K1685" s="1" t="s">
        <v>65</v>
      </c>
      <c r="L1685" s="1" t="s">
        <v>2192</v>
      </c>
      <c r="M1685" s="5"/>
      <c r="N1685" s="5" t="s">
        <v>10</v>
      </c>
      <c r="O1685" s="5" t="s">
        <v>10</v>
      </c>
      <c r="P1685" s="1" t="s">
        <v>5366</v>
      </c>
      <c r="Q1685" s="1" t="s">
        <v>5367</v>
      </c>
      <c r="R1685" s="2" t="s">
        <v>1420</v>
      </c>
      <c r="S1685" s="1" t="s">
        <v>6243</v>
      </c>
      <c r="T1685" s="1">
        <v>9173</v>
      </c>
      <c r="U1685" s="1">
        <v>7176</v>
      </c>
      <c r="V1685" s="1">
        <v>7176</v>
      </c>
      <c r="AH1685" s="1">
        <v>1997</v>
      </c>
      <c r="AI1685" s="1">
        <v>1997</v>
      </c>
    </row>
    <row r="1686" spans="1:37" x14ac:dyDescent="0.2">
      <c r="A1686" s="1" t="s">
        <v>2191</v>
      </c>
      <c r="B1686" s="1">
        <v>21424380</v>
      </c>
      <c r="C1686" s="1" t="s">
        <v>7420</v>
      </c>
      <c r="E1686" s="21">
        <v>33</v>
      </c>
      <c r="G1686" s="1" t="s">
        <v>119</v>
      </c>
      <c r="H1686" s="1" t="s">
        <v>6675</v>
      </c>
      <c r="I1686" s="5">
        <v>40621</v>
      </c>
      <c r="J1686" s="18" t="s">
        <v>11</v>
      </c>
      <c r="K1686" s="1" t="s">
        <v>595</v>
      </c>
      <c r="L1686" s="1" t="s">
        <v>2190</v>
      </c>
      <c r="M1686" s="5"/>
      <c r="N1686" s="5" t="s">
        <v>11</v>
      </c>
      <c r="O1686" s="5" t="s">
        <v>11</v>
      </c>
      <c r="P1686" s="1" t="s">
        <v>5245</v>
      </c>
      <c r="Q1686" s="1" t="s">
        <v>6363</v>
      </c>
      <c r="R1686" s="2" t="s">
        <v>4226</v>
      </c>
      <c r="S1686" s="1" t="s">
        <v>6243</v>
      </c>
      <c r="T1686" s="1">
        <v>2991</v>
      </c>
      <c r="U1686" s="1">
        <v>623</v>
      </c>
      <c r="V1686" s="1">
        <v>623</v>
      </c>
      <c r="AH1686" s="1">
        <v>2368</v>
      </c>
      <c r="AI1686" s="1">
        <v>2368</v>
      </c>
    </row>
    <row r="1687" spans="1:37" x14ac:dyDescent="0.2">
      <c r="A1687" s="1" t="s">
        <v>2189</v>
      </c>
      <c r="B1687" s="1">
        <v>21424828</v>
      </c>
      <c r="C1687" s="1" t="s">
        <v>7420</v>
      </c>
      <c r="E1687" s="21">
        <v>58</v>
      </c>
      <c r="G1687" s="1" t="s">
        <v>2572</v>
      </c>
      <c r="H1687" s="1" t="s">
        <v>7303</v>
      </c>
      <c r="I1687" s="5">
        <v>40624</v>
      </c>
      <c r="J1687" s="18" t="s">
        <v>10</v>
      </c>
      <c r="K1687" s="1" t="s">
        <v>595</v>
      </c>
      <c r="L1687" s="1" t="s">
        <v>2940</v>
      </c>
      <c r="M1687" s="5"/>
      <c r="N1687" s="5" t="s">
        <v>11</v>
      </c>
      <c r="O1687" s="5" t="s">
        <v>10</v>
      </c>
      <c r="P1687" s="1" t="s">
        <v>5457</v>
      </c>
      <c r="Q1687" s="1" t="s">
        <v>33</v>
      </c>
      <c r="R1687" s="2" t="s">
        <v>5969</v>
      </c>
      <c r="S1687" s="1" t="s">
        <v>6244</v>
      </c>
      <c r="T1687" s="1">
        <v>2642</v>
      </c>
      <c r="U1687" s="1">
        <v>2642</v>
      </c>
      <c r="V1687" s="1">
        <v>367</v>
      </c>
      <c r="W1687" s="1">
        <v>1489</v>
      </c>
      <c r="X1687" s="1">
        <v>202</v>
      </c>
      <c r="Z1687" s="1">
        <v>332</v>
      </c>
      <c r="AA1687" s="1">
        <v>252</v>
      </c>
    </row>
    <row r="1688" spans="1:37" x14ac:dyDescent="0.2">
      <c r="A1688" s="1" t="s">
        <v>2208</v>
      </c>
      <c r="B1688" s="1">
        <v>21427758</v>
      </c>
      <c r="C1688" s="1" t="s">
        <v>7420</v>
      </c>
      <c r="E1688" s="21">
        <v>58</v>
      </c>
      <c r="G1688" s="1" t="s">
        <v>7022</v>
      </c>
      <c r="H1688" s="1" t="s">
        <v>7235</v>
      </c>
      <c r="I1688" s="5">
        <v>40625</v>
      </c>
      <c r="J1688" s="18" t="s">
        <v>10</v>
      </c>
      <c r="K1688" s="1" t="s">
        <v>592</v>
      </c>
      <c r="L1688" s="1" t="s">
        <v>2941</v>
      </c>
      <c r="M1688" s="5"/>
      <c r="N1688" s="5" t="s">
        <v>11</v>
      </c>
      <c r="O1688" s="5" t="s">
        <v>11</v>
      </c>
      <c r="P1688" s="1" t="s">
        <v>5249</v>
      </c>
      <c r="Q1688" s="1" t="s">
        <v>33</v>
      </c>
      <c r="R1688" s="2" t="s">
        <v>5750</v>
      </c>
      <c r="S1688" s="1" t="s">
        <v>6243</v>
      </c>
      <c r="T1688" s="1">
        <v>313</v>
      </c>
      <c r="U1688" s="1">
        <v>313</v>
      </c>
      <c r="V1688" s="1">
        <v>313</v>
      </c>
    </row>
    <row r="1689" spans="1:37" x14ac:dyDescent="0.2">
      <c r="A1689" s="1" t="s">
        <v>2265</v>
      </c>
      <c r="B1689" s="1">
        <v>21428769</v>
      </c>
      <c r="C1689" s="1" t="s">
        <v>7420</v>
      </c>
      <c r="D1689" s="1">
        <v>1</v>
      </c>
      <c r="E1689" s="21">
        <v>0</v>
      </c>
      <c r="G1689" s="1" t="s">
        <v>2003</v>
      </c>
      <c r="H1689" s="1" t="s">
        <v>7147</v>
      </c>
      <c r="I1689" s="5">
        <v>40626</v>
      </c>
      <c r="J1689" s="18" t="s">
        <v>11</v>
      </c>
      <c r="K1689" s="1" t="s">
        <v>157</v>
      </c>
      <c r="L1689" s="1" t="s">
        <v>2263</v>
      </c>
      <c r="M1689" s="5"/>
      <c r="N1689" s="5" t="s">
        <v>10</v>
      </c>
      <c r="O1689" s="5" t="s">
        <v>10</v>
      </c>
      <c r="P1689" s="1" t="s">
        <v>5352</v>
      </c>
      <c r="Q1689" s="1" t="s">
        <v>5353</v>
      </c>
      <c r="R1689" s="2" t="s">
        <v>2264</v>
      </c>
      <c r="S1689" s="1" t="s">
        <v>6243</v>
      </c>
      <c r="T1689" s="1">
        <v>4389</v>
      </c>
      <c r="U1689" s="1">
        <v>4052</v>
      </c>
      <c r="V1689" s="1">
        <v>4052</v>
      </c>
      <c r="AH1689" s="1">
        <v>337</v>
      </c>
      <c r="AI1689" s="1">
        <v>337</v>
      </c>
    </row>
    <row r="1690" spans="1:37" x14ac:dyDescent="0.2">
      <c r="A1690" s="1" t="s">
        <v>2213</v>
      </c>
      <c r="B1690" s="1">
        <v>21436895</v>
      </c>
      <c r="C1690" s="1" t="s">
        <v>7420</v>
      </c>
      <c r="E1690" s="21">
        <v>11</v>
      </c>
      <c r="G1690" s="1" t="s">
        <v>2214</v>
      </c>
      <c r="H1690" s="1" t="s">
        <v>436</v>
      </c>
      <c r="I1690" s="5">
        <v>40619</v>
      </c>
      <c r="J1690" s="18" t="s">
        <v>10</v>
      </c>
      <c r="K1690" s="1" t="s">
        <v>65</v>
      </c>
      <c r="L1690" s="1" t="s">
        <v>2942</v>
      </c>
      <c r="M1690" s="5"/>
      <c r="N1690" s="5" t="s">
        <v>10</v>
      </c>
      <c r="O1690" s="5" t="s">
        <v>10</v>
      </c>
      <c r="P1690" s="1" t="s">
        <v>5134</v>
      </c>
      <c r="Q1690" s="1" t="s">
        <v>5135</v>
      </c>
      <c r="R1690" s="2" t="s">
        <v>5707</v>
      </c>
      <c r="S1690" s="1" t="s">
        <v>6243</v>
      </c>
      <c r="T1690" s="1">
        <v>6902</v>
      </c>
      <c r="U1690" s="1">
        <v>4202</v>
      </c>
      <c r="V1690" s="1">
        <v>4202</v>
      </c>
      <c r="AH1690" s="1">
        <v>2700</v>
      </c>
      <c r="AI1690" s="1">
        <v>2700</v>
      </c>
    </row>
    <row r="1691" spans="1:37" x14ac:dyDescent="0.2">
      <c r="A1691" s="1" t="s">
        <v>2210</v>
      </c>
      <c r="B1691" s="1">
        <v>21437268</v>
      </c>
      <c r="C1691" s="1" t="s">
        <v>7420</v>
      </c>
      <c r="E1691" s="21">
        <v>28</v>
      </c>
      <c r="G1691" s="1" t="s">
        <v>2211</v>
      </c>
      <c r="H1691" s="1" t="s">
        <v>2212</v>
      </c>
      <c r="I1691" s="5">
        <v>40619</v>
      </c>
      <c r="J1691" s="18" t="s">
        <v>11</v>
      </c>
      <c r="K1691" s="1" t="s">
        <v>65</v>
      </c>
      <c r="L1691" s="1" t="s">
        <v>2209</v>
      </c>
      <c r="M1691" s="5"/>
      <c r="N1691" s="5" t="s">
        <v>10</v>
      </c>
      <c r="O1691" s="5" t="s">
        <v>10</v>
      </c>
      <c r="P1691" s="1" t="s">
        <v>5160</v>
      </c>
      <c r="Q1691" s="1" t="s">
        <v>5161</v>
      </c>
      <c r="R1691" s="2" t="s">
        <v>4444</v>
      </c>
      <c r="S1691" s="1" t="s">
        <v>6243</v>
      </c>
      <c r="T1691" s="1">
        <v>31151</v>
      </c>
      <c r="U1691" s="1">
        <v>10425</v>
      </c>
      <c r="V1691" s="1">
        <v>10425</v>
      </c>
      <c r="AH1691" s="1">
        <v>20726</v>
      </c>
      <c r="AI1691" s="1">
        <v>20726</v>
      </c>
    </row>
    <row r="1692" spans="1:37" x14ac:dyDescent="0.2">
      <c r="A1692" s="1" t="s">
        <v>2267</v>
      </c>
      <c r="B1692" s="1">
        <v>21441570</v>
      </c>
      <c r="C1692" s="1" t="s">
        <v>7420</v>
      </c>
      <c r="E1692" s="21">
        <v>831</v>
      </c>
      <c r="G1692" s="1" t="s">
        <v>6876</v>
      </c>
      <c r="H1692" s="1" t="s">
        <v>7377</v>
      </c>
      <c r="I1692" s="5">
        <v>40628</v>
      </c>
      <c r="J1692" s="18" t="s">
        <v>11</v>
      </c>
      <c r="K1692" s="1" t="s">
        <v>103</v>
      </c>
      <c r="L1692" s="1" t="s">
        <v>2266</v>
      </c>
      <c r="M1692" s="5"/>
      <c r="N1692" s="5" t="s">
        <v>10</v>
      </c>
      <c r="O1692" s="5" t="s">
        <v>10</v>
      </c>
      <c r="P1692" s="1" t="s">
        <v>5427</v>
      </c>
      <c r="Q1692" s="1" t="s">
        <v>33</v>
      </c>
      <c r="R1692" s="2" t="s">
        <v>4400</v>
      </c>
      <c r="S1692" s="1" t="s">
        <v>6243</v>
      </c>
      <c r="T1692" s="1">
        <v>2829</v>
      </c>
      <c r="U1692" s="1">
        <v>2829</v>
      </c>
      <c r="V1692" s="1">
        <v>2829</v>
      </c>
    </row>
    <row r="1693" spans="1:37" x14ac:dyDescent="0.2">
      <c r="A1693" s="1" t="s">
        <v>2269</v>
      </c>
      <c r="B1693" s="1">
        <v>21441931</v>
      </c>
      <c r="C1693" s="1" t="s">
        <v>7420</v>
      </c>
      <c r="E1693" s="21">
        <v>13</v>
      </c>
      <c r="G1693" s="1" t="s">
        <v>2270</v>
      </c>
      <c r="H1693" s="1" t="s">
        <v>13</v>
      </c>
      <c r="I1693" s="5">
        <v>40629</v>
      </c>
      <c r="J1693" s="18" t="s">
        <v>11</v>
      </c>
      <c r="K1693" s="1" t="s">
        <v>28</v>
      </c>
      <c r="L1693" s="1" t="s">
        <v>2268</v>
      </c>
      <c r="M1693" s="5"/>
      <c r="N1693" s="5" t="s">
        <v>10</v>
      </c>
      <c r="O1693" s="5" t="s">
        <v>10</v>
      </c>
      <c r="P1693" s="1" t="s">
        <v>4041</v>
      </c>
      <c r="Q1693" s="1" t="s">
        <v>4442</v>
      </c>
      <c r="R1693" s="2" t="s">
        <v>4565</v>
      </c>
      <c r="S1693" s="1" t="s">
        <v>6242</v>
      </c>
      <c r="T1693" s="1">
        <v>7322</v>
      </c>
      <c r="U1693" s="1">
        <v>1741</v>
      </c>
      <c r="X1693" s="1">
        <v>1741</v>
      </c>
      <c r="AH1693" s="1">
        <v>5581</v>
      </c>
      <c r="AK1693" s="1">
        <v>5581</v>
      </c>
    </row>
    <row r="1694" spans="1:37" x14ac:dyDescent="0.2">
      <c r="A1694" s="1" t="s">
        <v>2220</v>
      </c>
      <c r="B1694" s="1">
        <v>21448234</v>
      </c>
      <c r="C1694" s="1" t="s">
        <v>7420</v>
      </c>
      <c r="D1694" s="1" t="s">
        <v>7411</v>
      </c>
      <c r="E1694" s="21">
        <v>1</v>
      </c>
      <c r="G1694" s="1" t="s">
        <v>242</v>
      </c>
      <c r="H1694" s="1" t="s">
        <v>7160</v>
      </c>
      <c r="I1694" s="5">
        <v>40632</v>
      </c>
      <c r="J1694" s="18" t="s">
        <v>10</v>
      </c>
      <c r="K1694" s="1" t="s">
        <v>592</v>
      </c>
      <c r="L1694" s="1" t="s">
        <v>2943</v>
      </c>
      <c r="M1694" s="5"/>
      <c r="N1694" s="5" t="s">
        <v>10</v>
      </c>
      <c r="O1694" s="5" t="s">
        <v>10</v>
      </c>
      <c r="P1694" s="1" t="s">
        <v>5439</v>
      </c>
      <c r="Q1694" s="1" t="s">
        <v>5440</v>
      </c>
      <c r="R1694" s="2" t="s">
        <v>6022</v>
      </c>
      <c r="S1694" s="1" t="s">
        <v>6243</v>
      </c>
      <c r="T1694" s="1">
        <v>25102</v>
      </c>
      <c r="U1694" s="1">
        <v>22562</v>
      </c>
      <c r="V1694" s="1">
        <v>22562</v>
      </c>
      <c r="AH1694" s="1">
        <v>2540</v>
      </c>
      <c r="AI1694" s="1">
        <v>2540</v>
      </c>
    </row>
    <row r="1695" spans="1:37" x14ac:dyDescent="0.2">
      <c r="A1695" s="1" t="s">
        <v>2219</v>
      </c>
      <c r="B1695" s="1">
        <v>21448238</v>
      </c>
      <c r="C1695" s="1" t="s">
        <v>7420</v>
      </c>
      <c r="E1695" s="21">
        <v>62</v>
      </c>
      <c r="G1695" s="1" t="s">
        <v>1727</v>
      </c>
      <c r="H1695" s="1" t="s">
        <v>70</v>
      </c>
      <c r="I1695" s="5">
        <v>40632</v>
      </c>
      <c r="J1695" s="18" t="s">
        <v>11</v>
      </c>
      <c r="K1695" s="1" t="s">
        <v>592</v>
      </c>
      <c r="L1695" s="1" t="s">
        <v>2218</v>
      </c>
      <c r="M1695" s="5"/>
      <c r="N1695" s="5" t="s">
        <v>10</v>
      </c>
      <c r="O1695" s="5" t="s">
        <v>10</v>
      </c>
      <c r="P1695" s="1" t="s">
        <v>5178</v>
      </c>
      <c r="Q1695" s="1" t="s">
        <v>4446</v>
      </c>
      <c r="R1695" s="2" t="s">
        <v>2011</v>
      </c>
      <c r="S1695" s="1" t="s">
        <v>6243</v>
      </c>
      <c r="T1695" s="1">
        <v>19711</v>
      </c>
      <c r="U1695" s="1">
        <v>10980</v>
      </c>
      <c r="V1695" s="1">
        <v>10980</v>
      </c>
      <c r="AH1695" s="1">
        <v>8731</v>
      </c>
      <c r="AI1695" s="1">
        <v>8731</v>
      </c>
    </row>
    <row r="1696" spans="1:37" x14ac:dyDescent="0.2">
      <c r="A1696" s="1" t="s">
        <v>2041</v>
      </c>
      <c r="B1696" s="1">
        <v>21452313</v>
      </c>
      <c r="C1696" s="1" t="s">
        <v>7420</v>
      </c>
      <c r="E1696" s="21">
        <v>4922</v>
      </c>
      <c r="G1696" s="1" t="s">
        <v>48</v>
      </c>
      <c r="H1696" s="1" t="s">
        <v>7340</v>
      </c>
      <c r="I1696" s="5">
        <v>40634</v>
      </c>
      <c r="J1696" s="18" t="s">
        <v>11</v>
      </c>
      <c r="K1696" s="1" t="s">
        <v>462</v>
      </c>
      <c r="L1696" s="1" t="s">
        <v>2215</v>
      </c>
      <c r="M1696" s="5"/>
      <c r="N1696" s="5" t="s">
        <v>10</v>
      </c>
      <c r="O1696" s="5" t="s">
        <v>10</v>
      </c>
      <c r="P1696" s="1" t="s">
        <v>2216</v>
      </c>
      <c r="Q1696" s="1" t="s">
        <v>2217</v>
      </c>
      <c r="R1696" s="2" t="s">
        <v>4110</v>
      </c>
      <c r="S1696" s="1" t="s">
        <v>6242</v>
      </c>
      <c r="T1696" s="1">
        <v>2995</v>
      </c>
      <c r="U1696" s="1">
        <v>1558</v>
      </c>
      <c r="X1696" s="1">
        <v>1558</v>
      </c>
      <c r="AH1696" s="1">
        <v>1437</v>
      </c>
      <c r="AK1696" s="1">
        <v>1437</v>
      </c>
    </row>
    <row r="1697" spans="1:44" x14ac:dyDescent="0.2">
      <c r="A1697" s="1" t="s">
        <v>2228</v>
      </c>
      <c r="B1697" s="1">
        <v>21459883</v>
      </c>
      <c r="C1697" s="1" t="s">
        <v>7420</v>
      </c>
      <c r="E1697" s="21">
        <v>100</v>
      </c>
      <c r="G1697" s="1" t="s">
        <v>2229</v>
      </c>
      <c r="H1697" s="1" t="s">
        <v>7178</v>
      </c>
      <c r="I1697" s="5">
        <v>40634</v>
      </c>
      <c r="J1697" s="18" t="s">
        <v>11</v>
      </c>
      <c r="K1697" s="1" t="s">
        <v>1881</v>
      </c>
      <c r="L1697" s="1" t="s">
        <v>2227</v>
      </c>
      <c r="M1697" s="5"/>
      <c r="N1697" s="5" t="s">
        <v>10</v>
      </c>
      <c r="O1697" s="5" t="s">
        <v>10</v>
      </c>
      <c r="P1697" s="1" t="s">
        <v>5056</v>
      </c>
      <c r="Q1697" s="1" t="s">
        <v>5057</v>
      </c>
      <c r="R1697" s="2" t="s">
        <v>5974</v>
      </c>
      <c r="S1697" s="1" t="s">
        <v>6243</v>
      </c>
      <c r="T1697" s="1">
        <v>4754</v>
      </c>
      <c r="U1697" s="1">
        <v>2287</v>
      </c>
      <c r="V1697" s="1">
        <v>2287</v>
      </c>
      <c r="AH1697" s="1">
        <v>2467</v>
      </c>
      <c r="AI1697" s="1">
        <v>2467</v>
      </c>
    </row>
    <row r="1698" spans="1:44" x14ac:dyDescent="0.2">
      <c r="A1698" s="1" t="s">
        <v>1896</v>
      </c>
      <c r="B1698" s="1">
        <v>21460395</v>
      </c>
      <c r="C1698" s="1" t="s">
        <v>7420</v>
      </c>
      <c r="E1698" s="21">
        <v>15</v>
      </c>
      <c r="G1698" s="1" t="s">
        <v>827</v>
      </c>
      <c r="H1698" s="1" t="s">
        <v>7323</v>
      </c>
      <c r="I1698" s="5">
        <v>40635</v>
      </c>
      <c r="J1698" s="18" t="s">
        <v>11</v>
      </c>
      <c r="K1698" s="1" t="s">
        <v>2275</v>
      </c>
      <c r="L1698" s="1" t="s">
        <v>2276</v>
      </c>
      <c r="M1698" s="5"/>
      <c r="N1698" s="5" t="s">
        <v>10</v>
      </c>
      <c r="O1698" s="5" t="s">
        <v>10</v>
      </c>
      <c r="P1698" s="1" t="s">
        <v>3620</v>
      </c>
      <c r="Q1698" s="1" t="s">
        <v>3930</v>
      </c>
      <c r="R1698" s="2" t="s">
        <v>4148</v>
      </c>
      <c r="S1698" s="1" t="s">
        <v>6248</v>
      </c>
      <c r="T1698" s="1">
        <v>1619</v>
      </c>
      <c r="U1698" s="1">
        <v>459</v>
      </c>
      <c r="AE1698" s="1">
        <v>459</v>
      </c>
      <c r="AH1698" s="1">
        <v>1160</v>
      </c>
      <c r="AR1698" s="1">
        <v>1160</v>
      </c>
    </row>
    <row r="1699" spans="1:44" x14ac:dyDescent="0.2">
      <c r="A1699" s="1" t="s">
        <v>2278</v>
      </c>
      <c r="B1699" s="1">
        <v>21460840</v>
      </c>
      <c r="C1699" s="1" t="s">
        <v>7420</v>
      </c>
      <c r="E1699" s="21">
        <v>145</v>
      </c>
      <c r="G1699" s="1" t="s">
        <v>89</v>
      </c>
      <c r="H1699" s="1" t="s">
        <v>7126</v>
      </c>
      <c r="I1699" s="5">
        <v>40636</v>
      </c>
      <c r="J1699" s="18" t="s">
        <v>11</v>
      </c>
      <c r="K1699" s="1" t="s">
        <v>28</v>
      </c>
      <c r="L1699" s="1" t="s">
        <v>2277</v>
      </c>
      <c r="M1699" s="5"/>
      <c r="N1699" s="5" t="s">
        <v>10</v>
      </c>
      <c r="O1699" s="5" t="s">
        <v>10</v>
      </c>
      <c r="P1699" s="1" t="s">
        <v>5343</v>
      </c>
      <c r="Q1699" s="1" t="s">
        <v>5344</v>
      </c>
      <c r="R1699" s="2" t="s">
        <v>4684</v>
      </c>
      <c r="S1699" s="1" t="s">
        <v>6243</v>
      </c>
      <c r="T1699" s="1">
        <v>59716</v>
      </c>
      <c r="U1699" s="1">
        <v>20373</v>
      </c>
      <c r="V1699" s="1">
        <v>20373</v>
      </c>
      <c r="AH1699" s="1">
        <v>39343</v>
      </c>
      <c r="AI1699" s="1">
        <v>39343</v>
      </c>
    </row>
    <row r="1700" spans="1:44" x14ac:dyDescent="0.2">
      <c r="A1700" s="1" t="s">
        <v>1855</v>
      </c>
      <c r="B1700" s="1">
        <v>21460841</v>
      </c>
      <c r="C1700" s="1" t="s">
        <v>7420</v>
      </c>
      <c r="E1700" s="21">
        <v>601</v>
      </c>
      <c r="G1700" s="1" t="s">
        <v>128</v>
      </c>
      <c r="H1700" s="1" t="s">
        <v>7126</v>
      </c>
      <c r="I1700" s="5">
        <v>40636</v>
      </c>
      <c r="J1700" s="18" t="s">
        <v>11</v>
      </c>
      <c r="K1700" s="1" t="s">
        <v>28</v>
      </c>
      <c r="L1700" s="1" t="s">
        <v>2345</v>
      </c>
      <c r="M1700" s="5"/>
      <c r="N1700" s="5" t="s">
        <v>10</v>
      </c>
      <c r="O1700" s="5" t="s">
        <v>10</v>
      </c>
      <c r="P1700" s="1" t="s">
        <v>5392</v>
      </c>
      <c r="Q1700" s="1" t="s">
        <v>5393</v>
      </c>
      <c r="R1700" s="2" t="s">
        <v>4501</v>
      </c>
      <c r="S1700" s="1" t="s">
        <v>6243</v>
      </c>
      <c r="T1700" s="1">
        <v>54429</v>
      </c>
      <c r="U1700" s="1">
        <v>15675</v>
      </c>
      <c r="V1700" s="1">
        <v>15675</v>
      </c>
      <c r="AH1700" s="1">
        <v>38754</v>
      </c>
      <c r="AI1700" s="1">
        <v>38754</v>
      </c>
    </row>
    <row r="1701" spans="1:44" x14ac:dyDescent="0.2">
      <c r="A1701" s="1" t="s">
        <v>1749</v>
      </c>
      <c r="B1701" s="1">
        <v>21460842</v>
      </c>
      <c r="C1701" s="1" t="s">
        <v>7420</v>
      </c>
      <c r="E1701" s="21">
        <v>58</v>
      </c>
      <c r="G1701" s="1" t="s">
        <v>2311</v>
      </c>
      <c r="H1701" s="1" t="s">
        <v>7117</v>
      </c>
      <c r="I1701" s="5">
        <v>40636</v>
      </c>
      <c r="J1701" s="18" t="s">
        <v>11</v>
      </c>
      <c r="K1701" s="1" t="s">
        <v>28</v>
      </c>
      <c r="L1701" s="1" t="s">
        <v>2310</v>
      </c>
      <c r="M1701" s="5"/>
      <c r="N1701" s="5" t="s">
        <v>11</v>
      </c>
      <c r="O1701" s="5" t="s">
        <v>11</v>
      </c>
      <c r="P1701" s="1" t="s">
        <v>3998</v>
      </c>
      <c r="Q1701" s="1" t="s">
        <v>4336</v>
      </c>
      <c r="R1701" s="2" t="s">
        <v>4727</v>
      </c>
      <c r="S1701" s="1" t="s">
        <v>6242</v>
      </c>
      <c r="T1701" s="1">
        <v>9718</v>
      </c>
      <c r="U1701" s="1">
        <v>3035</v>
      </c>
      <c r="X1701" s="1">
        <v>3035</v>
      </c>
      <c r="AH1701" s="1">
        <v>6683</v>
      </c>
      <c r="AK1701" s="1">
        <v>6683</v>
      </c>
    </row>
    <row r="1702" spans="1:44" x14ac:dyDescent="0.2">
      <c r="A1702" s="1" t="s">
        <v>2225</v>
      </c>
      <c r="B1702" s="1">
        <v>21461030</v>
      </c>
      <c r="C1702" s="1" t="s">
        <v>7420</v>
      </c>
      <c r="D1702" s="1" t="s">
        <v>7411</v>
      </c>
      <c r="E1702" s="21">
        <v>1</v>
      </c>
      <c r="G1702" s="1" t="s">
        <v>2226</v>
      </c>
      <c r="H1702" s="1" t="s">
        <v>7190</v>
      </c>
      <c r="I1702" s="5">
        <v>40571</v>
      </c>
      <c r="J1702" s="18" t="s">
        <v>10</v>
      </c>
      <c r="K1702" s="1" t="s">
        <v>2847</v>
      </c>
      <c r="L1702" s="1" t="s">
        <v>2944</v>
      </c>
      <c r="M1702" s="5"/>
      <c r="N1702" s="5" t="s">
        <v>10</v>
      </c>
      <c r="O1702" s="5" t="s">
        <v>10</v>
      </c>
      <c r="P1702" s="1" t="s">
        <v>6364</v>
      </c>
      <c r="Q1702" s="1" t="s">
        <v>6137</v>
      </c>
      <c r="R1702" s="2" t="s">
        <v>6041</v>
      </c>
      <c r="S1702" s="1" t="s">
        <v>6243</v>
      </c>
      <c r="T1702" s="1">
        <v>1513</v>
      </c>
      <c r="U1702" s="1">
        <v>972</v>
      </c>
      <c r="V1702" s="1">
        <v>972</v>
      </c>
      <c r="AH1702" s="1">
        <v>541</v>
      </c>
      <c r="AI1702" s="1">
        <v>541</v>
      </c>
    </row>
    <row r="1703" spans="1:44" x14ac:dyDescent="0.2">
      <c r="A1703" s="1" t="s">
        <v>2344</v>
      </c>
      <c r="B1703" s="1">
        <v>21467234</v>
      </c>
      <c r="C1703" s="1" t="s">
        <v>7420</v>
      </c>
      <c r="E1703" s="21">
        <v>13</v>
      </c>
      <c r="G1703" s="1" t="s">
        <v>664</v>
      </c>
      <c r="H1703" s="1" t="s">
        <v>6690</v>
      </c>
      <c r="I1703" s="5">
        <v>40680</v>
      </c>
      <c r="J1703" s="18" t="s">
        <v>11</v>
      </c>
      <c r="K1703" s="1" t="s">
        <v>1396</v>
      </c>
      <c r="L1703" s="1" t="s">
        <v>2343</v>
      </c>
      <c r="M1703" s="5"/>
      <c r="N1703" s="5" t="s">
        <v>11</v>
      </c>
      <c r="O1703" s="5" t="s">
        <v>11</v>
      </c>
      <c r="P1703" s="1" t="s">
        <v>5202</v>
      </c>
      <c r="Q1703" s="1" t="s">
        <v>5203</v>
      </c>
      <c r="R1703" s="2" t="s">
        <v>4741</v>
      </c>
      <c r="S1703" s="1" t="s">
        <v>6243</v>
      </c>
      <c r="T1703" s="1">
        <v>2591</v>
      </c>
      <c r="U1703" s="1">
        <v>302</v>
      </c>
      <c r="V1703" s="1">
        <v>302</v>
      </c>
      <c r="AH1703" s="1">
        <v>2289</v>
      </c>
      <c r="AI1703" s="1">
        <v>2289</v>
      </c>
    </row>
    <row r="1704" spans="1:44" x14ac:dyDescent="0.2">
      <c r="A1704" s="1" t="s">
        <v>2342</v>
      </c>
      <c r="B1704" s="1">
        <v>21471458</v>
      </c>
      <c r="C1704" s="1" t="s">
        <v>7420</v>
      </c>
      <c r="E1704" s="21">
        <v>225</v>
      </c>
      <c r="G1704" s="1" t="s">
        <v>2110</v>
      </c>
      <c r="H1704" s="1" t="s">
        <v>7207</v>
      </c>
      <c r="I1704" s="5">
        <v>40639</v>
      </c>
      <c r="J1704" s="18" t="s">
        <v>11</v>
      </c>
      <c r="K1704" s="1" t="s">
        <v>210</v>
      </c>
      <c r="L1704" s="1" t="s">
        <v>2340</v>
      </c>
      <c r="M1704" s="5"/>
      <c r="N1704" s="5" t="s">
        <v>10</v>
      </c>
      <c r="O1704" s="5" t="s">
        <v>10</v>
      </c>
      <c r="P1704" s="1" t="s">
        <v>5217</v>
      </c>
      <c r="Q1704" s="1" t="s">
        <v>5218</v>
      </c>
      <c r="R1704" s="2" t="s">
        <v>2341</v>
      </c>
      <c r="S1704" s="1" t="s">
        <v>6243</v>
      </c>
      <c r="T1704" s="1">
        <v>47501</v>
      </c>
      <c r="U1704" s="1">
        <v>26316</v>
      </c>
      <c r="V1704" s="1">
        <v>26316</v>
      </c>
      <c r="AH1704" s="1">
        <v>21185</v>
      </c>
      <c r="AI1704" s="1">
        <v>21185</v>
      </c>
    </row>
    <row r="1705" spans="1:44" x14ac:dyDescent="0.2">
      <c r="A1705" s="1" t="s">
        <v>2257</v>
      </c>
      <c r="B1705" s="1">
        <v>21471979</v>
      </c>
      <c r="C1705" s="1" t="s">
        <v>7420</v>
      </c>
      <c r="E1705" s="21">
        <v>145</v>
      </c>
      <c r="G1705" s="1" t="s">
        <v>7094</v>
      </c>
      <c r="H1705" s="1" t="s">
        <v>6820</v>
      </c>
      <c r="I1705" s="5">
        <v>40640</v>
      </c>
      <c r="J1705" s="18" t="s">
        <v>11</v>
      </c>
      <c r="K1705" s="1" t="s">
        <v>689</v>
      </c>
      <c r="L1705" s="1" t="s">
        <v>2255</v>
      </c>
      <c r="M1705" s="5"/>
      <c r="N1705" s="5" t="s">
        <v>10</v>
      </c>
      <c r="O1705" s="5" t="s">
        <v>10</v>
      </c>
      <c r="P1705" s="1" t="s">
        <v>2256</v>
      </c>
      <c r="Q1705" s="1" t="s">
        <v>4390</v>
      </c>
      <c r="R1705" s="2" t="s">
        <v>4495</v>
      </c>
      <c r="S1705" s="1" t="s">
        <v>6242</v>
      </c>
      <c r="T1705" s="1">
        <v>4642</v>
      </c>
      <c r="U1705" s="1">
        <v>1008</v>
      </c>
      <c r="X1705" s="1">
        <v>1008</v>
      </c>
      <c r="AH1705" s="1">
        <v>3634</v>
      </c>
      <c r="AK1705" s="1">
        <v>3634</v>
      </c>
    </row>
    <row r="1706" spans="1:44" x14ac:dyDescent="0.2">
      <c r="A1706" s="1" t="s">
        <v>2308</v>
      </c>
      <c r="B1706" s="1">
        <v>21473668</v>
      </c>
      <c r="C1706" s="1" t="s">
        <v>7420</v>
      </c>
      <c r="E1706" s="21">
        <v>75</v>
      </c>
      <c r="G1706" s="1" t="s">
        <v>2309</v>
      </c>
      <c r="H1706" s="1" t="s">
        <v>7127</v>
      </c>
      <c r="I1706" s="5">
        <v>40640</v>
      </c>
      <c r="J1706" s="18" t="s">
        <v>11</v>
      </c>
      <c r="K1706" s="1" t="s">
        <v>2305</v>
      </c>
      <c r="L1706" s="1" t="s">
        <v>2306</v>
      </c>
      <c r="M1706" s="5"/>
      <c r="N1706" s="5" t="s">
        <v>10</v>
      </c>
      <c r="O1706" s="5" t="s">
        <v>10</v>
      </c>
      <c r="P1706" s="1" t="s">
        <v>5408</v>
      </c>
      <c r="Q1706" s="1" t="s">
        <v>2307</v>
      </c>
      <c r="R1706" s="2" t="s">
        <v>4505</v>
      </c>
      <c r="S1706" s="1" t="s">
        <v>6243</v>
      </c>
      <c r="T1706" s="1">
        <v>1186</v>
      </c>
      <c r="U1706" s="1">
        <v>890</v>
      </c>
      <c r="V1706" s="1">
        <v>890</v>
      </c>
      <c r="AH1706" s="1">
        <v>296</v>
      </c>
      <c r="AI1706" s="1">
        <v>296</v>
      </c>
    </row>
    <row r="1707" spans="1:44" x14ac:dyDescent="0.2">
      <c r="A1707" s="1" t="s">
        <v>3040</v>
      </c>
      <c r="B1707" s="1">
        <v>21478428</v>
      </c>
      <c r="C1707" s="1" t="s">
        <v>7420</v>
      </c>
      <c r="E1707" s="21">
        <v>48</v>
      </c>
      <c r="G1707" s="1" t="s">
        <v>3042</v>
      </c>
      <c r="H1707" s="1" t="s">
        <v>7218</v>
      </c>
      <c r="I1707" s="5">
        <v>40641</v>
      </c>
      <c r="J1707" s="18" t="s">
        <v>10</v>
      </c>
      <c r="K1707" s="16" t="s">
        <v>455</v>
      </c>
      <c r="L1707" s="15" t="s">
        <v>6504</v>
      </c>
      <c r="N1707" s="5" t="s">
        <v>10</v>
      </c>
      <c r="O1707" s="5" t="s">
        <v>10</v>
      </c>
      <c r="P1707" s="1" t="s">
        <v>5638</v>
      </c>
      <c r="Q1707" s="1" t="s">
        <v>5671</v>
      </c>
      <c r="R1707" s="6" t="s">
        <v>4459</v>
      </c>
      <c r="S1707" s="1" t="s">
        <v>6244</v>
      </c>
      <c r="T1707" s="1">
        <v>399</v>
      </c>
      <c r="U1707" s="1">
        <v>374</v>
      </c>
      <c r="V1707" s="1">
        <v>374</v>
      </c>
      <c r="AH1707" s="1">
        <v>25</v>
      </c>
      <c r="AJ1707" s="1">
        <v>25</v>
      </c>
    </row>
    <row r="1708" spans="1:44" x14ac:dyDescent="0.2">
      <c r="A1708" s="1" t="s">
        <v>2304</v>
      </c>
      <c r="B1708" s="1">
        <v>21478494</v>
      </c>
      <c r="C1708" s="1" t="s">
        <v>7420</v>
      </c>
      <c r="E1708" s="21">
        <v>11</v>
      </c>
      <c r="G1708" s="1" t="s">
        <v>6804</v>
      </c>
      <c r="H1708" s="1" t="s">
        <v>7335</v>
      </c>
      <c r="I1708" s="5">
        <v>40660</v>
      </c>
      <c r="J1708" s="18" t="s">
        <v>11</v>
      </c>
      <c r="K1708" s="1" t="s">
        <v>103</v>
      </c>
      <c r="L1708" s="1" t="s">
        <v>2303</v>
      </c>
      <c r="M1708" s="5"/>
      <c r="N1708" s="5" t="s">
        <v>10</v>
      </c>
      <c r="O1708" s="5" t="s">
        <v>10</v>
      </c>
      <c r="P1708" s="1" t="s">
        <v>5412</v>
      </c>
      <c r="Q1708" s="1" t="s">
        <v>5413</v>
      </c>
      <c r="R1708" s="2" t="s">
        <v>4821</v>
      </c>
      <c r="S1708" s="1" t="s">
        <v>6243</v>
      </c>
      <c r="T1708" s="1">
        <v>12717</v>
      </c>
      <c r="U1708" s="1">
        <v>9136</v>
      </c>
      <c r="V1708" s="1">
        <v>9136</v>
      </c>
      <c r="AH1708" s="1">
        <v>3581</v>
      </c>
      <c r="AI1708" s="1">
        <v>3581</v>
      </c>
    </row>
    <row r="1709" spans="1:44" x14ac:dyDescent="0.2">
      <c r="A1709" s="1" t="s">
        <v>1515</v>
      </c>
      <c r="B1709" s="1">
        <v>21483023</v>
      </c>
      <c r="C1709" s="1" t="s">
        <v>7420</v>
      </c>
      <c r="E1709" s="21">
        <v>61</v>
      </c>
      <c r="G1709" s="1" t="s">
        <v>6964</v>
      </c>
      <c r="H1709" s="1" t="s">
        <v>7090</v>
      </c>
      <c r="I1709" s="5">
        <v>40644</v>
      </c>
      <c r="J1709" s="18" t="s">
        <v>11</v>
      </c>
      <c r="K1709" s="1" t="s">
        <v>311</v>
      </c>
      <c r="L1709" s="1" t="s">
        <v>2302</v>
      </c>
      <c r="M1709" s="5"/>
      <c r="N1709" s="5" t="s">
        <v>10</v>
      </c>
      <c r="O1709" s="5" t="s">
        <v>10</v>
      </c>
      <c r="P1709" s="1" t="s">
        <v>5635</v>
      </c>
      <c r="Q1709" s="1" t="s">
        <v>5541</v>
      </c>
      <c r="R1709" s="2" t="s">
        <v>4748</v>
      </c>
      <c r="S1709" s="1" t="s">
        <v>6243</v>
      </c>
      <c r="T1709" s="1">
        <v>914</v>
      </c>
      <c r="U1709" s="1">
        <v>327</v>
      </c>
      <c r="V1709" s="1">
        <v>327</v>
      </c>
      <c r="AH1709" s="1">
        <v>587</v>
      </c>
      <c r="AI1709" s="1">
        <v>587</v>
      </c>
    </row>
    <row r="1710" spans="1:44" x14ac:dyDescent="0.2">
      <c r="A1710" s="1" t="s">
        <v>1754</v>
      </c>
      <c r="B1710" s="1">
        <v>21483694</v>
      </c>
      <c r="C1710" s="1" t="s">
        <v>7420</v>
      </c>
      <c r="E1710" s="21">
        <v>24</v>
      </c>
      <c r="G1710" s="1" t="s">
        <v>6941</v>
      </c>
      <c r="H1710" s="1" t="s">
        <v>7313</v>
      </c>
      <c r="I1710" s="5">
        <v>40637</v>
      </c>
      <c r="J1710" s="18" t="s">
        <v>10</v>
      </c>
      <c r="K1710" s="1" t="s">
        <v>181</v>
      </c>
      <c r="L1710" s="1" t="s">
        <v>2945</v>
      </c>
      <c r="M1710" s="5"/>
      <c r="N1710" s="5" t="s">
        <v>10</v>
      </c>
      <c r="O1710" s="5" t="s">
        <v>10</v>
      </c>
      <c r="P1710" s="1" t="s">
        <v>3390</v>
      </c>
      <c r="Q1710" s="1" t="s">
        <v>33</v>
      </c>
      <c r="R1710" s="1" t="s">
        <v>5888</v>
      </c>
      <c r="S1710" s="1" t="s">
        <v>6244</v>
      </c>
      <c r="T1710" s="1">
        <v>57</v>
      </c>
      <c r="U1710" s="1">
        <v>57</v>
      </c>
      <c r="AD1710" s="1">
        <v>57</v>
      </c>
    </row>
    <row r="1711" spans="1:44" x14ac:dyDescent="0.2">
      <c r="A1711" s="1" t="s">
        <v>2271</v>
      </c>
      <c r="B1711" s="1">
        <v>21483845</v>
      </c>
      <c r="C1711" s="1" t="s">
        <v>7420</v>
      </c>
      <c r="E1711" s="21">
        <v>33</v>
      </c>
      <c r="G1711" s="1" t="s">
        <v>2272</v>
      </c>
      <c r="H1711" s="1" t="s">
        <v>7219</v>
      </c>
      <c r="I1711" s="5">
        <v>40633</v>
      </c>
      <c r="J1711" s="18" t="s">
        <v>10</v>
      </c>
      <c r="K1711" s="1" t="s">
        <v>181</v>
      </c>
      <c r="L1711" s="1" t="s">
        <v>2946</v>
      </c>
      <c r="M1711" s="5"/>
      <c r="N1711" s="5" t="s">
        <v>10</v>
      </c>
      <c r="O1711" s="5" t="s">
        <v>10</v>
      </c>
      <c r="P1711" s="1" t="s">
        <v>6200</v>
      </c>
      <c r="Q1711" s="1" t="s">
        <v>6201</v>
      </c>
      <c r="R1711" s="2" t="s">
        <v>4061</v>
      </c>
      <c r="S1711" s="1" t="s">
        <v>6243</v>
      </c>
      <c r="T1711" s="1">
        <v>911</v>
      </c>
      <c r="U1711" s="1">
        <v>679</v>
      </c>
      <c r="V1711" s="1">
        <v>679</v>
      </c>
      <c r="AH1711" s="1">
        <v>232</v>
      </c>
      <c r="AI1711" s="1">
        <v>232</v>
      </c>
    </row>
    <row r="1712" spans="1:44" x14ac:dyDescent="0.2">
      <c r="A1712" s="1" t="s">
        <v>1946</v>
      </c>
      <c r="B1712" s="1">
        <v>21490045</v>
      </c>
      <c r="C1712" s="1" t="s">
        <v>7420</v>
      </c>
      <c r="E1712" s="21">
        <v>106</v>
      </c>
      <c r="G1712" s="1" t="s">
        <v>6847</v>
      </c>
      <c r="H1712" s="1" t="s">
        <v>7173</v>
      </c>
      <c r="I1712" s="5">
        <v>40646</v>
      </c>
      <c r="J1712" s="18" t="s">
        <v>10</v>
      </c>
      <c r="K1712" s="1" t="s">
        <v>2947</v>
      </c>
      <c r="L1712" s="1" t="s">
        <v>2948</v>
      </c>
      <c r="M1712" s="5"/>
      <c r="N1712" s="5" t="s">
        <v>10</v>
      </c>
      <c r="O1712" s="5" t="s">
        <v>10</v>
      </c>
      <c r="P1712" s="1" t="s">
        <v>3369</v>
      </c>
      <c r="Q1712" s="1" t="s">
        <v>33</v>
      </c>
      <c r="R1712" s="2" t="s">
        <v>5795</v>
      </c>
      <c r="S1712" s="1" t="s">
        <v>6243</v>
      </c>
      <c r="T1712" s="1">
        <v>1258</v>
      </c>
      <c r="U1712" s="1">
        <v>1258</v>
      </c>
      <c r="V1712" s="1">
        <v>1258</v>
      </c>
    </row>
    <row r="1713" spans="1:37" x14ac:dyDescent="0.2">
      <c r="A1713" s="1" t="s">
        <v>2378</v>
      </c>
      <c r="B1713" s="1">
        <v>21490707</v>
      </c>
      <c r="C1713" s="1" t="s">
        <v>7420</v>
      </c>
      <c r="E1713" s="21">
        <v>105</v>
      </c>
      <c r="G1713" s="1" t="s">
        <v>2249</v>
      </c>
      <c r="H1713" s="1" t="s">
        <v>7071</v>
      </c>
      <c r="I1713" s="5">
        <v>40640</v>
      </c>
      <c r="J1713" s="18" t="s">
        <v>11</v>
      </c>
      <c r="K1713" s="1" t="s">
        <v>65</v>
      </c>
      <c r="L1713" s="1" t="s">
        <v>2377</v>
      </c>
      <c r="M1713" s="5"/>
      <c r="N1713" s="5" t="s">
        <v>10</v>
      </c>
      <c r="O1713" s="5" t="s">
        <v>10</v>
      </c>
      <c r="P1713" s="1" t="s">
        <v>5299</v>
      </c>
      <c r="Q1713" s="1" t="s">
        <v>33</v>
      </c>
      <c r="R1713" s="2" t="s">
        <v>868</v>
      </c>
      <c r="S1713" s="1" t="s">
        <v>6243</v>
      </c>
      <c r="T1713" s="1">
        <v>47431</v>
      </c>
      <c r="U1713" s="1">
        <v>47431</v>
      </c>
      <c r="V1713" s="1">
        <v>47431</v>
      </c>
    </row>
    <row r="1714" spans="1:37" x14ac:dyDescent="0.2">
      <c r="A1714" s="1" t="s">
        <v>2274</v>
      </c>
      <c r="B1714" s="1">
        <v>21490949</v>
      </c>
      <c r="C1714" s="1" t="s">
        <v>7420</v>
      </c>
      <c r="E1714" s="21">
        <v>33</v>
      </c>
      <c r="G1714" s="1" t="s">
        <v>61</v>
      </c>
      <c r="H1714" s="1" t="s">
        <v>7396</v>
      </c>
      <c r="I1714" s="5">
        <v>40640</v>
      </c>
      <c r="J1714" s="18" t="s">
        <v>11</v>
      </c>
      <c r="K1714" s="1" t="s">
        <v>65</v>
      </c>
      <c r="L1714" s="1" t="s">
        <v>2273</v>
      </c>
      <c r="M1714" s="5"/>
      <c r="N1714" s="5" t="s">
        <v>10</v>
      </c>
      <c r="O1714" s="5" t="s">
        <v>10</v>
      </c>
      <c r="P1714" s="1" t="s">
        <v>6665</v>
      </c>
      <c r="Q1714" s="1" t="s">
        <v>33</v>
      </c>
      <c r="R1714" s="2" t="s">
        <v>4998</v>
      </c>
      <c r="S1714" s="1" t="s">
        <v>6244</v>
      </c>
      <c r="T1714" s="1">
        <v>8135</v>
      </c>
      <c r="U1714" s="1">
        <v>8135</v>
      </c>
      <c r="X1714" s="1">
        <v>5989</v>
      </c>
      <c r="Y1714" s="1">
        <v>2146</v>
      </c>
    </row>
    <row r="1715" spans="1:37" x14ac:dyDescent="0.2">
      <c r="A1715" s="1" t="s">
        <v>2360</v>
      </c>
      <c r="B1715" s="1">
        <v>21493818</v>
      </c>
      <c r="C1715" s="1" t="s">
        <v>7420</v>
      </c>
      <c r="E1715" s="21">
        <v>43</v>
      </c>
      <c r="G1715" s="1" t="s">
        <v>6872</v>
      </c>
      <c r="H1715" s="1" t="s">
        <v>1188</v>
      </c>
      <c r="I1715" s="5">
        <v>40654</v>
      </c>
      <c r="J1715" s="18" t="s">
        <v>11</v>
      </c>
      <c r="K1715" s="1" t="s">
        <v>551</v>
      </c>
      <c r="L1715" s="1" t="s">
        <v>2359</v>
      </c>
      <c r="M1715" s="5"/>
      <c r="N1715" s="5" t="s">
        <v>10</v>
      </c>
      <c r="O1715" s="5" t="s">
        <v>10</v>
      </c>
      <c r="P1715" s="1" t="s">
        <v>5086</v>
      </c>
      <c r="Q1715" s="1" t="s">
        <v>33</v>
      </c>
      <c r="R1715" s="2" t="s">
        <v>739</v>
      </c>
      <c r="S1715" s="1" t="s">
        <v>6243</v>
      </c>
      <c r="T1715" s="1">
        <v>1654</v>
      </c>
      <c r="U1715" s="1">
        <v>1654</v>
      </c>
      <c r="V1715" s="1">
        <v>1654</v>
      </c>
    </row>
    <row r="1716" spans="1:37" x14ac:dyDescent="0.2">
      <c r="A1716" s="1" t="s">
        <v>2601</v>
      </c>
      <c r="B1716" s="1">
        <v>21493956</v>
      </c>
      <c r="C1716" s="1" t="s">
        <v>7420</v>
      </c>
      <c r="E1716" s="21">
        <v>224</v>
      </c>
      <c r="G1716" s="1" t="s">
        <v>2602</v>
      </c>
      <c r="H1716" s="1" t="s">
        <v>1273</v>
      </c>
      <c r="I1716" s="5">
        <v>40647</v>
      </c>
      <c r="J1716" s="18" t="s">
        <v>10</v>
      </c>
      <c r="K1716" s="1" t="s">
        <v>541</v>
      </c>
      <c r="L1716" s="1" t="s">
        <v>2949</v>
      </c>
      <c r="N1716" s="5" t="s">
        <v>10</v>
      </c>
      <c r="O1716" s="5" t="s">
        <v>10</v>
      </c>
      <c r="P1716" s="1" t="s">
        <v>6284</v>
      </c>
      <c r="Q1716" s="1" t="s">
        <v>33</v>
      </c>
      <c r="R1716" s="2" t="s">
        <v>1200</v>
      </c>
      <c r="S1716" s="1" t="s">
        <v>6243</v>
      </c>
      <c r="T1716" s="1">
        <v>3417</v>
      </c>
      <c r="U1716" s="1">
        <v>3417</v>
      </c>
      <c r="V1716" s="1">
        <v>3417</v>
      </c>
    </row>
    <row r="1717" spans="1:37" x14ac:dyDescent="0.2">
      <c r="A1717" s="1" t="s">
        <v>2299</v>
      </c>
      <c r="B1717" s="1">
        <v>21497890</v>
      </c>
      <c r="C1717" s="1" t="s">
        <v>7420</v>
      </c>
      <c r="E1717" s="21">
        <v>178</v>
      </c>
      <c r="G1717" s="1" t="s">
        <v>2300</v>
      </c>
      <c r="H1717" s="1" t="s">
        <v>2301</v>
      </c>
      <c r="I1717" s="5">
        <v>40648</v>
      </c>
      <c r="J1717" s="18" t="s">
        <v>11</v>
      </c>
      <c r="K1717" s="1" t="s">
        <v>1169</v>
      </c>
      <c r="L1717" s="1" t="s">
        <v>2298</v>
      </c>
      <c r="M1717" s="5"/>
      <c r="N1717" s="5" t="s">
        <v>10</v>
      </c>
      <c r="O1717" s="5" t="s">
        <v>10</v>
      </c>
      <c r="P1717" s="1" t="s">
        <v>5145</v>
      </c>
      <c r="Q1717" s="1" t="s">
        <v>5146</v>
      </c>
      <c r="R1717" s="2" t="s">
        <v>4992</v>
      </c>
      <c r="S1717" s="1" t="s">
        <v>6243</v>
      </c>
      <c r="T1717" s="1">
        <v>3319</v>
      </c>
      <c r="U1717" s="1">
        <v>2096</v>
      </c>
      <c r="V1717" s="1">
        <v>2096</v>
      </c>
      <c r="AH1717" s="1">
        <v>1223</v>
      </c>
      <c r="AI1717" s="1">
        <v>1223</v>
      </c>
    </row>
    <row r="1718" spans="1:37" x14ac:dyDescent="0.2">
      <c r="A1718" s="1" t="s">
        <v>2257</v>
      </c>
      <c r="B1718" s="1">
        <v>21499248</v>
      </c>
      <c r="C1718" s="1" t="s">
        <v>7420</v>
      </c>
      <c r="E1718" s="21">
        <v>18</v>
      </c>
      <c r="G1718" s="1" t="s">
        <v>6838</v>
      </c>
      <c r="H1718" s="1" t="s">
        <v>2096</v>
      </c>
      <c r="I1718" s="5">
        <v>40650</v>
      </c>
      <c r="J1718" s="18" t="s">
        <v>11</v>
      </c>
      <c r="K1718" s="1" t="s">
        <v>28</v>
      </c>
      <c r="L1718" s="1" t="s">
        <v>2297</v>
      </c>
      <c r="M1718" s="5"/>
      <c r="N1718" s="5" t="s">
        <v>10</v>
      </c>
      <c r="O1718" s="5" t="s">
        <v>10</v>
      </c>
      <c r="P1718" s="1" t="s">
        <v>4265</v>
      </c>
      <c r="Q1718" s="1" t="s">
        <v>4266</v>
      </c>
      <c r="R1718" s="2" t="s">
        <v>4267</v>
      </c>
      <c r="S1718" s="1" t="s">
        <v>6242</v>
      </c>
      <c r="T1718" s="1">
        <v>6880</v>
      </c>
      <c r="U1718" s="1">
        <v>3611</v>
      </c>
      <c r="X1718" s="1">
        <v>3611</v>
      </c>
      <c r="AH1718" s="1">
        <v>3269</v>
      </c>
      <c r="AK1718" s="1">
        <v>3269</v>
      </c>
    </row>
    <row r="1719" spans="1:37" x14ac:dyDescent="0.2">
      <c r="A1719" s="1" t="s">
        <v>2355</v>
      </c>
      <c r="B1719" s="1">
        <v>21499250</v>
      </c>
      <c r="C1719" s="1" t="s">
        <v>7420</v>
      </c>
      <c r="E1719" s="21">
        <v>116</v>
      </c>
      <c r="G1719" s="1" t="s">
        <v>2356</v>
      </c>
      <c r="H1719" s="1" t="s">
        <v>6681</v>
      </c>
      <c r="I1719" s="5">
        <v>40650</v>
      </c>
      <c r="J1719" s="18" t="s">
        <v>11</v>
      </c>
      <c r="K1719" s="1" t="s">
        <v>28</v>
      </c>
      <c r="L1719" s="1" t="s">
        <v>2354</v>
      </c>
      <c r="M1719" s="5"/>
      <c r="N1719" s="5" t="s">
        <v>11</v>
      </c>
      <c r="O1719" s="5" t="s">
        <v>11</v>
      </c>
      <c r="P1719" s="1" t="s">
        <v>5061</v>
      </c>
      <c r="Q1719" s="1" t="s">
        <v>5062</v>
      </c>
      <c r="R1719" s="2" t="s">
        <v>4894</v>
      </c>
      <c r="S1719" s="1" t="s">
        <v>6243</v>
      </c>
      <c r="T1719" s="1">
        <v>17296</v>
      </c>
      <c r="U1719" s="1">
        <v>6453</v>
      </c>
      <c r="V1719" s="1">
        <v>6453</v>
      </c>
      <c r="AH1719" s="1">
        <v>10843</v>
      </c>
      <c r="AI1719" s="1">
        <v>10843</v>
      </c>
    </row>
    <row r="1720" spans="1:37" x14ac:dyDescent="0.2">
      <c r="A1720" s="1" t="s">
        <v>2407</v>
      </c>
      <c r="B1720" s="1">
        <v>21502085</v>
      </c>
      <c r="C1720" s="1" t="s">
        <v>7420</v>
      </c>
      <c r="E1720" s="21">
        <v>19</v>
      </c>
      <c r="G1720" s="1" t="s">
        <v>6845</v>
      </c>
      <c r="H1720" s="1" t="s">
        <v>7172</v>
      </c>
      <c r="I1720" s="5">
        <v>40664</v>
      </c>
      <c r="J1720" s="18" t="s">
        <v>11</v>
      </c>
      <c r="K1720" s="1" t="s">
        <v>657</v>
      </c>
      <c r="L1720" s="1" t="s">
        <v>2406</v>
      </c>
      <c r="M1720" s="5"/>
      <c r="N1720" s="5" t="s">
        <v>10</v>
      </c>
      <c r="O1720" s="5" t="s">
        <v>10</v>
      </c>
      <c r="P1720" s="1" t="s">
        <v>5384</v>
      </c>
      <c r="Q1720" s="1" t="s">
        <v>33</v>
      </c>
      <c r="R1720" s="2" t="s">
        <v>5029</v>
      </c>
      <c r="S1720" s="1" t="s">
        <v>6243</v>
      </c>
      <c r="T1720" s="1">
        <v>755</v>
      </c>
      <c r="U1720" s="1">
        <v>755</v>
      </c>
      <c r="V1720" s="1">
        <v>755</v>
      </c>
    </row>
    <row r="1721" spans="1:37" x14ac:dyDescent="0.2">
      <c r="A1721" s="1" t="s">
        <v>1374</v>
      </c>
      <c r="B1721" s="1">
        <v>21502573</v>
      </c>
      <c r="C1721" s="1" t="s">
        <v>7420</v>
      </c>
      <c r="E1721" s="21">
        <v>18</v>
      </c>
      <c r="G1721" s="1" t="s">
        <v>6905</v>
      </c>
      <c r="H1721" s="1" t="s">
        <v>7202</v>
      </c>
      <c r="I1721" s="5">
        <v>40651</v>
      </c>
      <c r="J1721" s="18" t="s">
        <v>11</v>
      </c>
      <c r="K1721" s="1" t="s">
        <v>1371</v>
      </c>
      <c r="L1721" s="1" t="s">
        <v>2349</v>
      </c>
      <c r="M1721" s="5"/>
      <c r="N1721" s="5" t="s">
        <v>10</v>
      </c>
      <c r="O1721" s="5" t="s">
        <v>10</v>
      </c>
      <c r="P1721" s="1" t="s">
        <v>5205</v>
      </c>
      <c r="Q1721" s="1" t="s">
        <v>33</v>
      </c>
      <c r="R1721" s="2" t="s">
        <v>4219</v>
      </c>
      <c r="S1721" s="1" t="s">
        <v>6243</v>
      </c>
      <c r="T1721" s="1">
        <v>21052</v>
      </c>
      <c r="U1721" s="1">
        <v>21052</v>
      </c>
      <c r="V1721" s="1">
        <v>21052</v>
      </c>
    </row>
    <row r="1722" spans="1:37" x14ac:dyDescent="0.2">
      <c r="A1722" s="1" t="s">
        <v>1321</v>
      </c>
      <c r="B1722" s="1">
        <v>21502949</v>
      </c>
      <c r="C1722" s="1" t="s">
        <v>7420</v>
      </c>
      <c r="E1722" s="21">
        <v>22</v>
      </c>
      <c r="G1722" s="1" t="s">
        <v>2362</v>
      </c>
      <c r="H1722" s="1" t="s">
        <v>7237</v>
      </c>
      <c r="I1722" s="5">
        <v>40652</v>
      </c>
      <c r="J1722" s="18" t="s">
        <v>11</v>
      </c>
      <c r="K1722" s="1" t="s">
        <v>71</v>
      </c>
      <c r="L1722" s="1" t="s">
        <v>2361</v>
      </c>
      <c r="M1722" s="5"/>
      <c r="N1722" s="5" t="s">
        <v>10</v>
      </c>
      <c r="O1722" s="5" t="s">
        <v>10</v>
      </c>
      <c r="P1722" s="1" t="s">
        <v>6185</v>
      </c>
      <c r="Q1722" s="1" t="s">
        <v>6186</v>
      </c>
      <c r="R1722" s="2" t="s">
        <v>5028</v>
      </c>
      <c r="S1722" s="1" t="s">
        <v>6243</v>
      </c>
      <c r="T1722" s="1">
        <v>1198</v>
      </c>
      <c r="U1722" s="1">
        <v>734</v>
      </c>
      <c r="V1722" s="1">
        <v>734</v>
      </c>
      <c r="AH1722" s="1">
        <v>464</v>
      </c>
      <c r="AI1722" s="1">
        <v>464</v>
      </c>
    </row>
    <row r="1723" spans="1:37" x14ac:dyDescent="0.2">
      <c r="A1723" s="1" t="s">
        <v>2353</v>
      </c>
      <c r="B1723" s="1">
        <v>21502966</v>
      </c>
      <c r="C1723" s="1" t="s">
        <v>7420</v>
      </c>
      <c r="E1723" s="21">
        <v>4</v>
      </c>
      <c r="G1723" s="1" t="s">
        <v>7033</v>
      </c>
      <c r="H1723" s="1" t="s">
        <v>7182</v>
      </c>
      <c r="I1723" s="5">
        <v>40652</v>
      </c>
      <c r="J1723" s="18" t="s">
        <v>11</v>
      </c>
      <c r="K1723" s="1" t="s">
        <v>113</v>
      </c>
      <c r="L1723" s="1" t="s">
        <v>2352</v>
      </c>
      <c r="M1723" s="5"/>
      <c r="N1723" s="5" t="s">
        <v>10</v>
      </c>
      <c r="O1723" s="5" t="s">
        <v>10</v>
      </c>
      <c r="P1723" s="1" t="s">
        <v>5143</v>
      </c>
      <c r="Q1723" s="1" t="s">
        <v>5144</v>
      </c>
      <c r="R1723" s="2" t="s">
        <v>4726</v>
      </c>
      <c r="S1723" s="1" t="s">
        <v>6243</v>
      </c>
      <c r="T1723" s="1">
        <v>1174</v>
      </c>
      <c r="U1723" s="1">
        <v>356</v>
      </c>
      <c r="V1723" s="1">
        <v>356</v>
      </c>
      <c r="AH1723" s="1">
        <v>818</v>
      </c>
      <c r="AI1723" s="1">
        <v>818</v>
      </c>
    </row>
    <row r="1724" spans="1:37" x14ac:dyDescent="0.2">
      <c r="A1724" s="1" t="s">
        <v>289</v>
      </c>
      <c r="B1724" s="1">
        <v>21505071</v>
      </c>
      <c r="C1724" s="1" t="s">
        <v>7420</v>
      </c>
      <c r="E1724" s="21">
        <v>9</v>
      </c>
      <c r="G1724" s="1" t="s">
        <v>1904</v>
      </c>
      <c r="H1724" s="1" t="s">
        <v>1102</v>
      </c>
      <c r="I1724" s="5">
        <v>40664</v>
      </c>
      <c r="J1724" s="18" t="s">
        <v>11</v>
      </c>
      <c r="K1724" s="1" t="s">
        <v>103</v>
      </c>
      <c r="L1724" s="1" t="s">
        <v>2295</v>
      </c>
      <c r="M1724" s="5"/>
      <c r="N1724" s="5" t="s">
        <v>10</v>
      </c>
      <c r="O1724" s="5" t="s">
        <v>10</v>
      </c>
      <c r="P1724" s="1" t="s">
        <v>2296</v>
      </c>
      <c r="Q1724" s="1" t="s">
        <v>4981</v>
      </c>
      <c r="R1724" s="2" t="s">
        <v>4026</v>
      </c>
      <c r="S1724" s="1" t="s">
        <v>6242</v>
      </c>
      <c r="T1724" s="1">
        <v>13399</v>
      </c>
      <c r="U1724" s="1">
        <v>437</v>
      </c>
      <c r="X1724" s="1">
        <v>437</v>
      </c>
      <c r="AH1724" s="1">
        <v>12962</v>
      </c>
      <c r="AK1724" s="1">
        <v>12962</v>
      </c>
    </row>
    <row r="1725" spans="1:37" x14ac:dyDescent="0.2">
      <c r="A1725" s="1" t="s">
        <v>2351</v>
      </c>
      <c r="B1725" s="1">
        <v>21505073</v>
      </c>
      <c r="C1725" s="1" t="s">
        <v>7420</v>
      </c>
      <c r="E1725" s="21">
        <v>6</v>
      </c>
      <c r="G1725" s="1" t="s">
        <v>48</v>
      </c>
      <c r="H1725" s="1" t="s">
        <v>7340</v>
      </c>
      <c r="I1725" s="5">
        <v>40663</v>
      </c>
      <c r="J1725" s="18" t="s">
        <v>11</v>
      </c>
      <c r="K1725" s="1" t="s">
        <v>103</v>
      </c>
      <c r="L1725" s="1" t="s">
        <v>2350</v>
      </c>
      <c r="M1725" s="5"/>
      <c r="N1725" s="5" t="s">
        <v>10</v>
      </c>
      <c r="O1725" s="5" t="s">
        <v>10</v>
      </c>
      <c r="P1725" s="1" t="s">
        <v>3980</v>
      </c>
      <c r="Q1725" s="1" t="s">
        <v>4549</v>
      </c>
      <c r="R1725" s="2" t="s">
        <v>3981</v>
      </c>
      <c r="S1725" s="1" t="s">
        <v>6242</v>
      </c>
      <c r="T1725" s="1">
        <v>11904</v>
      </c>
      <c r="U1725" s="1">
        <v>2733</v>
      </c>
      <c r="X1725" s="1">
        <v>2733</v>
      </c>
      <c r="AH1725" s="1">
        <v>9171</v>
      </c>
      <c r="AK1725" s="1">
        <v>9171</v>
      </c>
    </row>
    <row r="1726" spans="1:37" x14ac:dyDescent="0.2">
      <c r="A1726" s="1" t="s">
        <v>2410</v>
      </c>
      <c r="B1726" s="1">
        <v>21507922</v>
      </c>
      <c r="C1726" s="1" t="s">
        <v>7420</v>
      </c>
      <c r="E1726" s="21">
        <v>50</v>
      </c>
      <c r="G1726" s="1" t="s">
        <v>2072</v>
      </c>
      <c r="H1726" s="1" t="s">
        <v>7175</v>
      </c>
      <c r="I1726" s="5">
        <v>40664</v>
      </c>
      <c r="J1726" s="18" t="s">
        <v>11</v>
      </c>
      <c r="K1726" s="1" t="s">
        <v>2408</v>
      </c>
      <c r="L1726" s="1" t="s">
        <v>2409</v>
      </c>
      <c r="M1726" s="5"/>
      <c r="N1726" s="5" t="s">
        <v>11</v>
      </c>
      <c r="O1726" s="5" t="s">
        <v>11</v>
      </c>
      <c r="P1726" s="1" t="s">
        <v>7013</v>
      </c>
      <c r="Q1726" s="1" t="s">
        <v>33</v>
      </c>
      <c r="R1726" s="2" t="s">
        <v>4433</v>
      </c>
      <c r="S1726" s="1" t="s">
        <v>6440</v>
      </c>
      <c r="T1726" s="1">
        <v>115</v>
      </c>
      <c r="U1726" s="1">
        <v>115</v>
      </c>
      <c r="W1726" s="1">
        <v>115</v>
      </c>
    </row>
    <row r="1727" spans="1:37" x14ac:dyDescent="0.2">
      <c r="A1727" s="1" t="s">
        <v>2616</v>
      </c>
      <c r="B1727" s="1">
        <v>21516175</v>
      </c>
      <c r="C1727" s="1" t="s">
        <v>7420</v>
      </c>
      <c r="D1727" s="1">
        <v>1</v>
      </c>
      <c r="E1727" s="21">
        <v>0</v>
      </c>
      <c r="G1727" s="1" t="s">
        <v>6982</v>
      </c>
      <c r="H1727" s="1" t="s">
        <v>7220</v>
      </c>
      <c r="I1727" s="5">
        <v>40725</v>
      </c>
      <c r="J1727" s="18" t="s">
        <v>10</v>
      </c>
      <c r="K1727" s="1" t="s">
        <v>2950</v>
      </c>
      <c r="L1727" s="1" t="s">
        <v>2951</v>
      </c>
      <c r="N1727" s="5" t="s">
        <v>10</v>
      </c>
      <c r="O1727" s="5" t="s">
        <v>10</v>
      </c>
      <c r="P1727" s="1" t="s">
        <v>3401</v>
      </c>
      <c r="Q1727" s="1" t="s">
        <v>33</v>
      </c>
      <c r="R1727" s="1" t="s">
        <v>5877</v>
      </c>
      <c r="S1727" s="1" t="s">
        <v>6248</v>
      </c>
      <c r="T1727" s="1">
        <v>656</v>
      </c>
      <c r="U1727" s="1">
        <v>656</v>
      </c>
      <c r="AE1727" s="1">
        <v>656</v>
      </c>
    </row>
    <row r="1728" spans="1:37" x14ac:dyDescent="0.2">
      <c r="A1728" s="1" t="s">
        <v>1333</v>
      </c>
      <c r="B1728" s="1">
        <v>21519539</v>
      </c>
      <c r="C1728" s="1" t="s">
        <v>7420</v>
      </c>
      <c r="E1728" s="21">
        <v>30</v>
      </c>
      <c r="G1728" s="1" t="s">
        <v>2658</v>
      </c>
      <c r="H1728" s="1" t="s">
        <v>2671</v>
      </c>
      <c r="I1728" s="5">
        <v>40599</v>
      </c>
      <c r="J1728" s="18" t="s">
        <v>10</v>
      </c>
      <c r="K1728" s="1" t="s">
        <v>2952</v>
      </c>
      <c r="L1728" s="1" t="s">
        <v>2953</v>
      </c>
      <c r="N1728" s="5" t="s">
        <v>10</v>
      </c>
      <c r="O1728" s="5" t="s">
        <v>10</v>
      </c>
      <c r="P1728" s="1" t="s">
        <v>3063</v>
      </c>
      <c r="Q1728" s="1" t="s">
        <v>33</v>
      </c>
      <c r="R1728" s="2" t="s">
        <v>3062</v>
      </c>
      <c r="S1728" s="1" t="s">
        <v>6242</v>
      </c>
      <c r="T1728" s="1">
        <v>42</v>
      </c>
      <c r="U1728" s="1">
        <v>42</v>
      </c>
      <c r="X1728" s="1">
        <v>42</v>
      </c>
    </row>
    <row r="1729" spans="1:44" x14ac:dyDescent="0.2">
      <c r="A1729" s="1" t="s">
        <v>2388</v>
      </c>
      <c r="B1729" s="1">
        <v>21521612</v>
      </c>
      <c r="C1729" s="1" t="s">
        <v>7420</v>
      </c>
      <c r="E1729" s="21">
        <v>15</v>
      </c>
      <c r="G1729" s="1" t="s">
        <v>634</v>
      </c>
      <c r="H1729" s="1" t="s">
        <v>635</v>
      </c>
      <c r="I1729" s="5">
        <v>40660</v>
      </c>
      <c r="J1729" s="18" t="s">
        <v>11</v>
      </c>
      <c r="K1729" s="1" t="s">
        <v>125</v>
      </c>
      <c r="L1729" s="1" t="s">
        <v>2387</v>
      </c>
      <c r="M1729" s="5"/>
      <c r="N1729" s="5" t="s">
        <v>10</v>
      </c>
      <c r="O1729" s="5" t="s">
        <v>10</v>
      </c>
      <c r="P1729" s="1" t="s">
        <v>5546</v>
      </c>
      <c r="Q1729" s="1" t="s">
        <v>5257</v>
      </c>
      <c r="R1729" s="2" t="s">
        <v>4582</v>
      </c>
      <c r="S1729" s="1" t="s">
        <v>6244</v>
      </c>
      <c r="T1729" s="1">
        <v>15679</v>
      </c>
      <c r="U1729" s="1">
        <v>719</v>
      </c>
      <c r="V1729" s="1">
        <v>719</v>
      </c>
      <c r="AH1729" s="1">
        <v>14960</v>
      </c>
      <c r="AI1729" s="1">
        <v>13969</v>
      </c>
      <c r="AJ1729" s="1">
        <v>991</v>
      </c>
    </row>
    <row r="1730" spans="1:44" x14ac:dyDescent="0.2">
      <c r="A1730" s="1" t="s">
        <v>2401</v>
      </c>
      <c r="B1730" s="1">
        <v>21529783</v>
      </c>
      <c r="C1730" s="1" t="s">
        <v>7420</v>
      </c>
      <c r="E1730" s="21">
        <v>429</v>
      </c>
      <c r="G1730" s="1" t="s">
        <v>2110</v>
      </c>
      <c r="H1730" s="1" t="s">
        <v>7207</v>
      </c>
      <c r="I1730" s="5">
        <v>40660</v>
      </c>
      <c r="J1730" s="18" t="s">
        <v>11</v>
      </c>
      <c r="K1730" s="1" t="s">
        <v>1128</v>
      </c>
      <c r="L1730" s="1" t="s">
        <v>2400</v>
      </c>
      <c r="M1730" s="5"/>
      <c r="N1730" s="5" t="s">
        <v>10</v>
      </c>
      <c r="O1730" s="5" t="s">
        <v>10</v>
      </c>
      <c r="P1730" s="1" t="s">
        <v>5397</v>
      </c>
      <c r="Q1730" s="1" t="s">
        <v>4391</v>
      </c>
      <c r="R1730" s="2" t="s">
        <v>4977</v>
      </c>
      <c r="S1730" s="1" t="s">
        <v>6243</v>
      </c>
      <c r="T1730" s="1">
        <v>12147</v>
      </c>
      <c r="U1730" s="1">
        <v>8754</v>
      </c>
      <c r="V1730" s="1">
        <v>8754</v>
      </c>
      <c r="AH1730" s="1">
        <v>3393</v>
      </c>
      <c r="AI1730" s="1">
        <v>3393</v>
      </c>
    </row>
    <row r="1731" spans="1:44" x14ac:dyDescent="0.2">
      <c r="A1731" s="1" t="s">
        <v>2380</v>
      </c>
      <c r="B1731" s="1">
        <v>21531791</v>
      </c>
      <c r="C1731" s="1" t="s">
        <v>7420</v>
      </c>
      <c r="E1731" s="21">
        <v>37</v>
      </c>
      <c r="G1731" s="1" t="s">
        <v>981</v>
      </c>
      <c r="H1731" s="1" t="s">
        <v>436</v>
      </c>
      <c r="I1731" s="5">
        <v>40679</v>
      </c>
      <c r="J1731" s="18" t="s">
        <v>11</v>
      </c>
      <c r="K1731" s="1" t="s">
        <v>103</v>
      </c>
      <c r="L1731" s="1" t="s">
        <v>2379</v>
      </c>
      <c r="M1731" s="5"/>
      <c r="N1731" s="5" t="s">
        <v>10</v>
      </c>
      <c r="O1731" s="5" t="s">
        <v>10</v>
      </c>
      <c r="P1731" s="1" t="s">
        <v>5274</v>
      </c>
      <c r="Q1731" s="1" t="s">
        <v>33</v>
      </c>
      <c r="R1731" s="2" t="s">
        <v>4465</v>
      </c>
      <c r="S1731" s="1" t="s">
        <v>6243</v>
      </c>
      <c r="T1731" s="1">
        <v>11582</v>
      </c>
      <c r="U1731" s="1">
        <v>11582</v>
      </c>
      <c r="V1731" s="1">
        <v>11582</v>
      </c>
    </row>
    <row r="1732" spans="1:44" x14ac:dyDescent="0.2">
      <c r="A1732" s="1" t="s">
        <v>2373</v>
      </c>
      <c r="B1732" s="1">
        <v>21532571</v>
      </c>
      <c r="C1732" s="1" t="s">
        <v>7420</v>
      </c>
      <c r="E1732" s="21">
        <v>38</v>
      </c>
      <c r="G1732" s="1" t="s">
        <v>2374</v>
      </c>
      <c r="H1732" s="1" t="s">
        <v>1414</v>
      </c>
      <c r="I1732" s="5">
        <v>40664</v>
      </c>
      <c r="J1732" s="18" t="s">
        <v>11</v>
      </c>
      <c r="K1732" s="1" t="s">
        <v>28</v>
      </c>
      <c r="L1732" s="1" t="s">
        <v>2372</v>
      </c>
      <c r="M1732" s="5"/>
      <c r="N1732" s="5" t="s">
        <v>10</v>
      </c>
      <c r="O1732" s="5" t="s">
        <v>10</v>
      </c>
      <c r="P1732" s="1" t="s">
        <v>5565</v>
      </c>
      <c r="Q1732" s="1" t="s">
        <v>5566</v>
      </c>
      <c r="R1732" s="2" t="s">
        <v>4840</v>
      </c>
      <c r="S1732" s="1" t="s">
        <v>6243</v>
      </c>
      <c r="T1732" s="1">
        <v>10020</v>
      </c>
      <c r="U1732" s="1">
        <v>4546</v>
      </c>
      <c r="V1732" s="1">
        <v>4546</v>
      </c>
      <c r="AH1732" s="1">
        <v>5474</v>
      </c>
      <c r="AI1732" s="1">
        <v>5474</v>
      </c>
    </row>
    <row r="1733" spans="1:44" x14ac:dyDescent="0.2">
      <c r="A1733" s="1" t="s">
        <v>2399</v>
      </c>
      <c r="B1733" s="1">
        <v>21533022</v>
      </c>
      <c r="C1733" s="1" t="s">
        <v>7420</v>
      </c>
      <c r="E1733" s="21">
        <v>323</v>
      </c>
      <c r="G1733" s="1" t="s">
        <v>6842</v>
      </c>
      <c r="H1733" s="1" t="s">
        <v>7233</v>
      </c>
      <c r="I1733" s="5">
        <v>40654</v>
      </c>
      <c r="J1733" s="18" t="s">
        <v>11</v>
      </c>
      <c r="K1733" s="1" t="s">
        <v>65</v>
      </c>
      <c r="L1733" s="1" t="s">
        <v>2398</v>
      </c>
      <c r="M1733" s="5"/>
      <c r="N1733" s="5" t="s">
        <v>11</v>
      </c>
      <c r="O1733" s="5" t="s">
        <v>11</v>
      </c>
      <c r="P1733" s="1" t="s">
        <v>5418</v>
      </c>
      <c r="Q1733" s="1" t="s">
        <v>5419</v>
      </c>
      <c r="R1733" s="2" t="s">
        <v>4382</v>
      </c>
      <c r="S1733" s="1" t="s">
        <v>6243</v>
      </c>
      <c r="T1733" s="1">
        <v>22853</v>
      </c>
      <c r="U1733" s="1">
        <v>1955</v>
      </c>
      <c r="V1733" s="1">
        <v>1955</v>
      </c>
      <c r="AH1733" s="1">
        <v>20898</v>
      </c>
      <c r="AI1733" s="1">
        <v>20898</v>
      </c>
    </row>
    <row r="1734" spans="1:44" x14ac:dyDescent="0.2">
      <c r="A1734" s="1" t="s">
        <v>805</v>
      </c>
      <c r="B1734" s="1">
        <v>21533024</v>
      </c>
      <c r="C1734" s="1" t="s">
        <v>7420</v>
      </c>
      <c r="E1734" s="21">
        <v>72</v>
      </c>
      <c r="G1734" s="1" t="s">
        <v>6956</v>
      </c>
      <c r="H1734" s="1" t="s">
        <v>7279</v>
      </c>
      <c r="I1734" s="5">
        <v>40654</v>
      </c>
      <c r="J1734" s="18" t="s">
        <v>11</v>
      </c>
      <c r="K1734" s="1" t="s">
        <v>65</v>
      </c>
      <c r="L1734" s="1" t="s">
        <v>2402</v>
      </c>
      <c r="M1734" s="5"/>
      <c r="N1734" s="5" t="s">
        <v>11</v>
      </c>
      <c r="O1734" s="5" t="s">
        <v>10</v>
      </c>
      <c r="P1734" s="1" t="s">
        <v>5209</v>
      </c>
      <c r="Q1734" s="1" t="s">
        <v>6095</v>
      </c>
      <c r="R1734" s="2" t="s">
        <v>4450</v>
      </c>
      <c r="S1734" s="1" t="s">
        <v>6243</v>
      </c>
      <c r="T1734" s="1">
        <v>32248</v>
      </c>
      <c r="U1734" s="1">
        <v>22435</v>
      </c>
      <c r="V1734" s="1">
        <v>22435</v>
      </c>
      <c r="AH1734" s="1">
        <v>9813</v>
      </c>
      <c r="AI1734" s="1">
        <v>9813</v>
      </c>
    </row>
    <row r="1735" spans="1:44" x14ac:dyDescent="0.2">
      <c r="A1735" s="1" t="s">
        <v>2348</v>
      </c>
      <c r="B1735" s="1">
        <v>21533074</v>
      </c>
      <c r="C1735" s="1" t="s">
        <v>7420</v>
      </c>
      <c r="E1735" s="21">
        <v>54</v>
      </c>
      <c r="G1735" s="1" t="s">
        <v>6821</v>
      </c>
      <c r="H1735" s="1" t="s">
        <v>6820</v>
      </c>
      <c r="I1735" s="5">
        <v>40654</v>
      </c>
      <c r="J1735" s="18" t="s">
        <v>11</v>
      </c>
      <c r="K1735" s="1" t="s">
        <v>65</v>
      </c>
      <c r="L1735" s="1" t="s">
        <v>2346</v>
      </c>
      <c r="M1735" s="5"/>
      <c r="N1735" s="5" t="s">
        <v>10</v>
      </c>
      <c r="O1735" s="5" t="s">
        <v>10</v>
      </c>
      <c r="P1735" s="1" t="s">
        <v>2347</v>
      </c>
      <c r="Q1735" s="1" t="s">
        <v>5263</v>
      </c>
      <c r="R1735" s="2" t="s">
        <v>4834</v>
      </c>
      <c r="S1735" s="1" t="s">
        <v>6243</v>
      </c>
      <c r="T1735" s="1">
        <v>6171</v>
      </c>
      <c r="U1735" s="1">
        <v>1170</v>
      </c>
      <c r="V1735" s="1">
        <v>1170</v>
      </c>
      <c r="AH1735" s="1">
        <v>5001</v>
      </c>
      <c r="AI1735" s="1">
        <v>5001</v>
      </c>
    </row>
    <row r="1736" spans="1:44" x14ac:dyDescent="0.2">
      <c r="A1736" s="1" t="s">
        <v>2376</v>
      </c>
      <c r="B1736" s="1">
        <v>21533175</v>
      </c>
      <c r="C1736" s="1" t="s">
        <v>7420</v>
      </c>
      <c r="E1736" s="21">
        <v>327</v>
      </c>
      <c r="G1736" s="1" t="s">
        <v>6715</v>
      </c>
      <c r="H1736" s="1" t="s">
        <v>7211</v>
      </c>
      <c r="I1736" s="5">
        <v>40637</v>
      </c>
      <c r="J1736" s="18" t="s">
        <v>11</v>
      </c>
      <c r="K1736" s="1" t="s">
        <v>65</v>
      </c>
      <c r="L1736" s="1" t="s">
        <v>2375</v>
      </c>
      <c r="M1736" s="5"/>
      <c r="N1736" s="5" t="s">
        <v>10</v>
      </c>
      <c r="O1736" s="5" t="s">
        <v>10</v>
      </c>
      <c r="P1736" s="1" t="s">
        <v>5507</v>
      </c>
      <c r="Q1736" s="1" t="s">
        <v>33</v>
      </c>
      <c r="R1736" s="2" t="s">
        <v>868</v>
      </c>
      <c r="S1736" s="1" t="s">
        <v>6243</v>
      </c>
      <c r="T1736" s="1">
        <v>14846</v>
      </c>
      <c r="U1736" s="1">
        <v>14846</v>
      </c>
      <c r="V1736" s="1">
        <v>14846</v>
      </c>
    </row>
    <row r="1737" spans="1:44" x14ac:dyDescent="0.2">
      <c r="A1737" s="1" t="s">
        <v>1715</v>
      </c>
      <c r="B1737" s="1">
        <v>21534939</v>
      </c>
      <c r="C1737" s="1" t="s">
        <v>7420</v>
      </c>
      <c r="E1737" s="21">
        <v>46</v>
      </c>
      <c r="G1737" s="1" t="s">
        <v>7006</v>
      </c>
      <c r="H1737" s="1" t="s">
        <v>7202</v>
      </c>
      <c r="I1737" s="5">
        <v>40661</v>
      </c>
      <c r="J1737" s="18" t="s">
        <v>10</v>
      </c>
      <c r="K1737" s="1" t="s">
        <v>906</v>
      </c>
      <c r="L1737" s="1" t="s">
        <v>2954</v>
      </c>
      <c r="M1737" s="5"/>
      <c r="N1737" s="5" t="s">
        <v>10</v>
      </c>
      <c r="O1737" s="5" t="s">
        <v>10</v>
      </c>
      <c r="P1737" s="1" t="s">
        <v>5401</v>
      </c>
      <c r="Q1737" s="1" t="s">
        <v>5402</v>
      </c>
      <c r="R1737" s="2" t="s">
        <v>5813</v>
      </c>
      <c r="S1737" s="1" t="s">
        <v>6243</v>
      </c>
      <c r="T1737" s="1">
        <v>24513</v>
      </c>
      <c r="U1737" s="1">
        <v>8472</v>
      </c>
      <c r="V1737" s="1">
        <v>8472</v>
      </c>
      <c r="AH1737" s="1">
        <v>16041</v>
      </c>
      <c r="AI1737" s="1">
        <v>16041</v>
      </c>
    </row>
    <row r="1738" spans="1:44" x14ac:dyDescent="0.2">
      <c r="A1738" s="1" t="s">
        <v>2285</v>
      </c>
      <c r="B1738" s="1">
        <v>21540310</v>
      </c>
      <c r="C1738" s="1" t="s">
        <v>7420</v>
      </c>
      <c r="E1738" s="21">
        <v>64</v>
      </c>
      <c r="G1738" s="1" t="s">
        <v>491</v>
      </c>
      <c r="H1738" s="1" t="s">
        <v>492</v>
      </c>
      <c r="I1738" s="5">
        <v>40666</v>
      </c>
      <c r="J1738" s="18" t="s">
        <v>11</v>
      </c>
      <c r="K1738" s="1" t="s">
        <v>2282</v>
      </c>
      <c r="L1738" s="1" t="s">
        <v>2283</v>
      </c>
      <c r="M1738" s="5"/>
      <c r="N1738" s="5" t="s">
        <v>10</v>
      </c>
      <c r="O1738" s="5" t="s">
        <v>10</v>
      </c>
      <c r="P1738" s="1" t="s">
        <v>2284</v>
      </c>
      <c r="Q1738" s="1" t="s">
        <v>5265</v>
      </c>
      <c r="R1738" s="2" t="s">
        <v>4751</v>
      </c>
      <c r="S1738" s="1" t="s">
        <v>6243</v>
      </c>
      <c r="T1738" s="1">
        <v>4138</v>
      </c>
      <c r="U1738" s="1">
        <v>773</v>
      </c>
      <c r="V1738" s="1">
        <v>773</v>
      </c>
      <c r="AH1738" s="1">
        <v>3365</v>
      </c>
      <c r="AI1738" s="1">
        <v>3365</v>
      </c>
    </row>
    <row r="1739" spans="1:44" x14ac:dyDescent="0.2">
      <c r="A1739" s="1" t="s">
        <v>1135</v>
      </c>
      <c r="B1739" s="1">
        <v>21540461</v>
      </c>
      <c r="C1739" s="1" t="s">
        <v>7420</v>
      </c>
      <c r="E1739" s="21">
        <v>46</v>
      </c>
      <c r="G1739" s="1" t="s">
        <v>6791</v>
      </c>
      <c r="H1739" s="1" t="s">
        <v>6672</v>
      </c>
      <c r="I1739" s="5">
        <v>40666</v>
      </c>
      <c r="J1739" s="18" t="s">
        <v>11</v>
      </c>
      <c r="K1739" s="1" t="s">
        <v>455</v>
      </c>
      <c r="L1739" s="1" t="s">
        <v>2280</v>
      </c>
      <c r="M1739" s="5"/>
      <c r="N1739" s="5" t="s">
        <v>10</v>
      </c>
      <c r="O1739" s="5" t="s">
        <v>10</v>
      </c>
      <c r="P1739" s="1" t="s">
        <v>2281</v>
      </c>
      <c r="Q1739" s="1" t="s">
        <v>5521</v>
      </c>
      <c r="R1739" s="2" t="s">
        <v>4668</v>
      </c>
      <c r="S1739" s="1" t="s">
        <v>6244</v>
      </c>
      <c r="T1739" s="1">
        <v>2743</v>
      </c>
      <c r="U1739" s="1">
        <v>698</v>
      </c>
      <c r="X1739" s="1">
        <v>698</v>
      </c>
      <c r="AH1739" s="1">
        <v>2045</v>
      </c>
      <c r="AI1739" s="1">
        <v>808</v>
      </c>
      <c r="AK1739" s="1">
        <v>1237</v>
      </c>
    </row>
    <row r="1740" spans="1:44" x14ac:dyDescent="0.2">
      <c r="A1740" s="1" t="s">
        <v>2279</v>
      </c>
      <c r="B1740" s="1">
        <v>21541012</v>
      </c>
      <c r="C1740" s="1" t="s">
        <v>7420</v>
      </c>
      <c r="E1740" s="21">
        <v>35</v>
      </c>
      <c r="G1740" s="1" t="s">
        <v>6874</v>
      </c>
      <c r="H1740" s="1" t="s">
        <v>7389</v>
      </c>
      <c r="I1740" s="5">
        <v>40654</v>
      </c>
      <c r="J1740" s="18" t="s">
        <v>10</v>
      </c>
      <c r="K1740" s="1" t="s">
        <v>65</v>
      </c>
      <c r="L1740" s="1" t="s">
        <v>2955</v>
      </c>
      <c r="M1740" s="5"/>
      <c r="N1740" s="5" t="s">
        <v>10</v>
      </c>
      <c r="O1740" s="5" t="s">
        <v>10</v>
      </c>
      <c r="P1740" s="1" t="s">
        <v>5486</v>
      </c>
      <c r="Q1740" s="1" t="s">
        <v>33</v>
      </c>
      <c r="R1740" s="2" t="s">
        <v>5928</v>
      </c>
      <c r="S1740" s="1" t="s">
        <v>6440</v>
      </c>
      <c r="T1740" s="1">
        <v>6209</v>
      </c>
      <c r="U1740" s="1">
        <v>6209</v>
      </c>
      <c r="W1740" s="1">
        <v>6209</v>
      </c>
    </row>
    <row r="1741" spans="1:44" x14ac:dyDescent="0.2">
      <c r="A1741" s="1" t="s">
        <v>2291</v>
      </c>
      <c r="B1741" s="1">
        <v>21544081</v>
      </c>
      <c r="C1741" s="1" t="s">
        <v>7420</v>
      </c>
      <c r="E1741" s="21">
        <v>36</v>
      </c>
      <c r="G1741" s="1" t="s">
        <v>370</v>
      </c>
      <c r="H1741" s="1" t="s">
        <v>7229</v>
      </c>
      <c r="I1741" s="5">
        <v>40652</v>
      </c>
      <c r="J1741" s="18" t="s">
        <v>11</v>
      </c>
      <c r="K1741" s="1" t="s">
        <v>2289</v>
      </c>
      <c r="L1741" s="1" t="s">
        <v>2290</v>
      </c>
      <c r="M1741" s="5"/>
      <c r="N1741" s="5" t="s">
        <v>10</v>
      </c>
      <c r="O1741" s="5" t="s">
        <v>10</v>
      </c>
      <c r="P1741" s="1" t="s">
        <v>4586</v>
      </c>
      <c r="Q1741" s="1" t="s">
        <v>33</v>
      </c>
      <c r="R1741" s="2" t="s">
        <v>4381</v>
      </c>
      <c r="S1741" s="1" t="s">
        <v>6244</v>
      </c>
      <c r="T1741" s="1">
        <v>10391</v>
      </c>
      <c r="U1741" s="1">
        <v>10391</v>
      </c>
      <c r="X1741" s="1">
        <v>7860</v>
      </c>
      <c r="Y1741" s="1">
        <v>2531</v>
      </c>
    </row>
    <row r="1742" spans="1:44" x14ac:dyDescent="0.2">
      <c r="A1742" s="1" t="s">
        <v>2288</v>
      </c>
      <c r="B1742" s="1">
        <v>21546496</v>
      </c>
      <c r="C1742" s="1" t="s">
        <v>7420</v>
      </c>
      <c r="E1742" s="21">
        <v>104</v>
      </c>
      <c r="G1742" s="1" t="s">
        <v>1530</v>
      </c>
      <c r="H1742" s="1" t="s">
        <v>7307</v>
      </c>
      <c r="I1742" s="5">
        <v>40668</v>
      </c>
      <c r="J1742" s="18" t="s">
        <v>11</v>
      </c>
      <c r="K1742" s="1" t="s">
        <v>2286</v>
      </c>
      <c r="L1742" s="1" t="s">
        <v>2287</v>
      </c>
      <c r="M1742" s="5"/>
      <c r="N1742" s="5" t="s">
        <v>10</v>
      </c>
      <c r="O1742" s="5" t="s">
        <v>10</v>
      </c>
      <c r="P1742" s="1" t="s">
        <v>3535</v>
      </c>
      <c r="Q1742" s="1" t="s">
        <v>3536</v>
      </c>
      <c r="R1742" s="2" t="s">
        <v>4961</v>
      </c>
      <c r="S1742" s="1" t="s">
        <v>6248</v>
      </c>
      <c r="T1742" s="1">
        <v>356</v>
      </c>
      <c r="U1742" s="1">
        <v>70</v>
      </c>
      <c r="AE1742" s="1">
        <v>70</v>
      </c>
      <c r="AH1742" s="1">
        <v>286</v>
      </c>
      <c r="AR1742" s="1">
        <v>286</v>
      </c>
    </row>
    <row r="1743" spans="1:44" x14ac:dyDescent="0.2">
      <c r="A1743" s="1" t="s">
        <v>2397</v>
      </c>
      <c r="B1743" s="1">
        <v>21546767</v>
      </c>
      <c r="C1743" s="1" t="s">
        <v>7420</v>
      </c>
      <c r="E1743" s="21">
        <v>28</v>
      </c>
      <c r="G1743" s="1" t="s">
        <v>6762</v>
      </c>
      <c r="H1743" s="1" t="s">
        <v>7394</v>
      </c>
      <c r="I1743" s="5">
        <v>40668</v>
      </c>
      <c r="J1743" s="18" t="s">
        <v>11</v>
      </c>
      <c r="K1743" s="1" t="s">
        <v>2394</v>
      </c>
      <c r="L1743" s="1" t="s">
        <v>2395</v>
      </c>
      <c r="M1743" s="5"/>
      <c r="N1743" s="5" t="s">
        <v>10</v>
      </c>
      <c r="O1743" s="5" t="s">
        <v>10</v>
      </c>
      <c r="P1743" s="1" t="s">
        <v>2396</v>
      </c>
      <c r="Q1743" s="1" t="s">
        <v>33</v>
      </c>
      <c r="R1743" s="2" t="s">
        <v>4256</v>
      </c>
      <c r="S1743" s="1" t="s">
        <v>6440</v>
      </c>
      <c r="T1743" s="1">
        <v>610</v>
      </c>
      <c r="U1743" s="1">
        <v>610</v>
      </c>
      <c r="W1743" s="1">
        <v>610</v>
      </c>
    </row>
    <row r="1744" spans="1:44" x14ac:dyDescent="0.2">
      <c r="A1744" s="1" t="s">
        <v>2294</v>
      </c>
      <c r="B1744" s="1">
        <v>21551455</v>
      </c>
      <c r="C1744" s="1" t="s">
        <v>7420</v>
      </c>
      <c r="E1744" s="21">
        <v>30</v>
      </c>
      <c r="G1744" s="1" t="s">
        <v>919</v>
      </c>
      <c r="H1744" s="1" t="s">
        <v>6692</v>
      </c>
      <c r="I1744" s="5">
        <v>40669</v>
      </c>
      <c r="J1744" s="18" t="s">
        <v>11</v>
      </c>
      <c r="K1744" s="1" t="s">
        <v>103</v>
      </c>
      <c r="L1744" s="1" t="s">
        <v>2293</v>
      </c>
      <c r="M1744" s="5"/>
      <c r="N1744" s="1" t="s">
        <v>11</v>
      </c>
      <c r="O1744" s="1" t="s">
        <v>11</v>
      </c>
      <c r="P1744" s="1" t="s">
        <v>3691</v>
      </c>
      <c r="Q1744" s="1" t="s">
        <v>3692</v>
      </c>
      <c r="R1744" s="2" t="s">
        <v>4880</v>
      </c>
      <c r="S1744" s="1" t="s">
        <v>6243</v>
      </c>
      <c r="T1744" s="1">
        <v>2667</v>
      </c>
      <c r="U1744" s="1">
        <v>1268</v>
      </c>
      <c r="V1744" s="1">
        <v>1268</v>
      </c>
      <c r="AH1744" s="1">
        <v>1399</v>
      </c>
      <c r="AI1744" s="1">
        <v>1399</v>
      </c>
    </row>
    <row r="1745" spans="1:43" x14ac:dyDescent="0.2">
      <c r="A1745" s="1" t="s">
        <v>1543</v>
      </c>
      <c r="B1745" s="1">
        <v>21552555</v>
      </c>
      <c r="C1745" s="1" t="s">
        <v>7420</v>
      </c>
      <c r="E1745" s="21">
        <v>48</v>
      </c>
      <c r="G1745" s="1" t="s">
        <v>951</v>
      </c>
      <c r="H1745" s="1" t="s">
        <v>7229</v>
      </c>
      <c r="I1745" s="5">
        <v>40661</v>
      </c>
      <c r="J1745" s="18" t="s">
        <v>11</v>
      </c>
      <c r="K1745" s="1" t="s">
        <v>181</v>
      </c>
      <c r="L1745" s="1" t="s">
        <v>2292</v>
      </c>
      <c r="M1745" s="5"/>
      <c r="N1745" s="5" t="s">
        <v>10</v>
      </c>
      <c r="O1745" s="5" t="s">
        <v>10</v>
      </c>
      <c r="P1745" s="1" t="s">
        <v>5605</v>
      </c>
      <c r="Q1745" s="1" t="s">
        <v>5606</v>
      </c>
      <c r="R1745" s="2" t="s">
        <v>4955</v>
      </c>
      <c r="S1745" s="1" t="s">
        <v>6243</v>
      </c>
      <c r="T1745" s="1">
        <v>2256</v>
      </c>
      <c r="U1745" s="1">
        <v>1060</v>
      </c>
      <c r="V1745" s="1">
        <v>1060</v>
      </c>
      <c r="AH1745" s="1">
        <v>1196</v>
      </c>
      <c r="AI1745" s="1">
        <v>1196</v>
      </c>
    </row>
    <row r="1746" spans="1:43" x14ac:dyDescent="0.2">
      <c r="A1746" s="1" t="s">
        <v>2412</v>
      </c>
      <c r="B1746" s="1">
        <v>21565293</v>
      </c>
      <c r="C1746" s="1" t="s">
        <v>7420</v>
      </c>
      <c r="E1746" s="21">
        <v>14</v>
      </c>
      <c r="G1746" s="1" t="s">
        <v>2413</v>
      </c>
      <c r="H1746" s="1" t="s">
        <v>2563</v>
      </c>
      <c r="I1746" s="5">
        <v>40664</v>
      </c>
      <c r="J1746" s="18" t="s">
        <v>11</v>
      </c>
      <c r="K1746" s="1" t="s">
        <v>16</v>
      </c>
      <c r="L1746" s="1" t="s">
        <v>2411</v>
      </c>
      <c r="M1746" s="5"/>
      <c r="N1746" s="5" t="s">
        <v>10</v>
      </c>
      <c r="O1746" s="5" t="s">
        <v>10</v>
      </c>
      <c r="P1746" s="1" t="s">
        <v>5239</v>
      </c>
      <c r="Q1746" s="1" t="s">
        <v>5240</v>
      </c>
      <c r="R1746" s="2" t="s">
        <v>4833</v>
      </c>
      <c r="S1746" s="1" t="s">
        <v>6243</v>
      </c>
      <c r="T1746" s="1">
        <v>4910</v>
      </c>
      <c r="U1746" s="1">
        <v>3620</v>
      </c>
      <c r="V1746" s="1">
        <v>3620</v>
      </c>
      <c r="AH1746" s="1">
        <v>1290</v>
      </c>
      <c r="AI1746" s="1">
        <v>1290</v>
      </c>
    </row>
    <row r="1747" spans="1:43" x14ac:dyDescent="0.2">
      <c r="A1747" s="1" t="s">
        <v>2404</v>
      </c>
      <c r="B1747" s="1">
        <v>21570397</v>
      </c>
      <c r="C1747" s="1" t="s">
        <v>7420</v>
      </c>
      <c r="E1747" s="21">
        <v>6</v>
      </c>
      <c r="G1747" s="1" t="s">
        <v>2405</v>
      </c>
      <c r="H1747" s="1" t="s">
        <v>7134</v>
      </c>
      <c r="I1747" s="5">
        <v>40645</v>
      </c>
      <c r="J1747" s="18" t="s">
        <v>11</v>
      </c>
      <c r="K1747" s="1" t="s">
        <v>477</v>
      </c>
      <c r="L1747" s="1" t="s">
        <v>2403</v>
      </c>
      <c r="M1747" s="5"/>
      <c r="N1747" s="5" t="s">
        <v>10</v>
      </c>
      <c r="O1747" s="5" t="s">
        <v>10</v>
      </c>
      <c r="P1747" s="1" t="s">
        <v>5201</v>
      </c>
      <c r="Q1747" s="1" t="s">
        <v>33</v>
      </c>
      <c r="R1747" s="2" t="s">
        <v>4218</v>
      </c>
      <c r="S1747" s="1" t="s">
        <v>6243</v>
      </c>
      <c r="T1747" s="1">
        <v>733</v>
      </c>
      <c r="U1747" s="1">
        <v>733</v>
      </c>
      <c r="V1747" s="1">
        <v>733</v>
      </c>
    </row>
    <row r="1748" spans="1:43" x14ac:dyDescent="0.2">
      <c r="A1748" s="1" t="s">
        <v>2371</v>
      </c>
      <c r="B1748" s="1">
        <v>21572414</v>
      </c>
      <c r="C1748" s="1" t="s">
        <v>7420</v>
      </c>
      <c r="E1748" s="21">
        <v>25339</v>
      </c>
      <c r="F1748" s="17">
        <v>1</v>
      </c>
      <c r="G1748" s="1" t="s">
        <v>6973</v>
      </c>
      <c r="H1748" s="1" t="s">
        <v>7296</v>
      </c>
      <c r="I1748" s="5">
        <v>40678</v>
      </c>
      <c r="J1748" s="18" t="s">
        <v>11</v>
      </c>
      <c r="K1748" s="1" t="s">
        <v>28</v>
      </c>
      <c r="L1748" s="1" t="s">
        <v>2368</v>
      </c>
      <c r="M1748" s="5"/>
      <c r="N1748" s="5" t="s">
        <v>11</v>
      </c>
      <c r="O1748" s="5" t="s">
        <v>10</v>
      </c>
      <c r="P1748" s="1" t="s">
        <v>2369</v>
      </c>
      <c r="Q1748" s="1" t="s">
        <v>2370</v>
      </c>
      <c r="R1748" s="2" t="s">
        <v>4603</v>
      </c>
      <c r="S1748" s="1" t="s">
        <v>6243</v>
      </c>
      <c r="T1748" s="1">
        <v>2724</v>
      </c>
      <c r="U1748" s="1">
        <v>862</v>
      </c>
      <c r="V1748" s="1">
        <v>862</v>
      </c>
      <c r="AH1748" s="1">
        <v>1862</v>
      </c>
      <c r="AI1748" s="1">
        <v>1862</v>
      </c>
    </row>
    <row r="1749" spans="1:43" x14ac:dyDescent="0.2">
      <c r="A1749" s="1" t="s">
        <v>292</v>
      </c>
      <c r="B1749" s="1">
        <v>21572416</v>
      </c>
      <c r="C1749" s="1" t="s">
        <v>7420</v>
      </c>
      <c r="E1749" s="21">
        <v>110</v>
      </c>
      <c r="G1749" s="1" t="s">
        <v>2196</v>
      </c>
      <c r="H1749" s="1" t="s">
        <v>7222</v>
      </c>
      <c r="I1749" s="5">
        <v>40678</v>
      </c>
      <c r="J1749" s="18" t="s">
        <v>11</v>
      </c>
      <c r="K1749" s="1" t="s">
        <v>28</v>
      </c>
      <c r="L1749" s="1" t="s">
        <v>2357</v>
      </c>
      <c r="M1749" s="5"/>
      <c r="N1749" s="5" t="s">
        <v>10</v>
      </c>
      <c r="O1749" s="5" t="s">
        <v>10</v>
      </c>
      <c r="P1749" s="1" t="s">
        <v>4826</v>
      </c>
      <c r="Q1749" s="1" t="s">
        <v>4740</v>
      </c>
      <c r="R1749" s="2" t="s">
        <v>2358</v>
      </c>
      <c r="S1749" s="1" t="s">
        <v>6242</v>
      </c>
      <c r="T1749" s="1">
        <v>50373</v>
      </c>
      <c r="U1749" s="1">
        <v>19608</v>
      </c>
      <c r="X1749" s="1">
        <v>19608</v>
      </c>
      <c r="AH1749" s="1">
        <v>30765</v>
      </c>
      <c r="AK1749" s="1">
        <v>30765</v>
      </c>
    </row>
    <row r="1750" spans="1:43" x14ac:dyDescent="0.2">
      <c r="A1750" s="1" t="s">
        <v>2393</v>
      </c>
      <c r="B1750" s="1">
        <v>21573004</v>
      </c>
      <c r="C1750" s="1" t="s">
        <v>7420</v>
      </c>
      <c r="E1750" s="21">
        <v>74</v>
      </c>
      <c r="G1750" s="1" t="s">
        <v>827</v>
      </c>
      <c r="H1750" s="1" t="s">
        <v>7323</v>
      </c>
      <c r="I1750" s="5">
        <v>40673</v>
      </c>
      <c r="J1750" s="18" t="s">
        <v>11</v>
      </c>
      <c r="K1750" s="1" t="s">
        <v>181</v>
      </c>
      <c r="L1750" s="1" t="s">
        <v>2392</v>
      </c>
      <c r="M1750" s="5"/>
      <c r="N1750" s="5" t="s">
        <v>10</v>
      </c>
      <c r="O1750" s="5" t="s">
        <v>10</v>
      </c>
      <c r="P1750" s="1" t="s">
        <v>5237</v>
      </c>
      <c r="Q1750" s="1" t="s">
        <v>5238</v>
      </c>
      <c r="R1750" s="2" t="s">
        <v>4832</v>
      </c>
      <c r="S1750" s="1" t="s">
        <v>6243</v>
      </c>
      <c r="T1750" s="1">
        <v>6014</v>
      </c>
      <c r="U1750" s="1">
        <v>3554</v>
      </c>
      <c r="V1750" s="1">
        <v>3554</v>
      </c>
      <c r="AH1750" s="1">
        <v>2460</v>
      </c>
      <c r="AI1750" s="1">
        <v>2460</v>
      </c>
    </row>
    <row r="1751" spans="1:43" x14ac:dyDescent="0.2">
      <c r="A1751" s="1" t="s">
        <v>2389</v>
      </c>
      <c r="B1751" s="1">
        <v>21573014</v>
      </c>
      <c r="C1751" s="1" t="s">
        <v>7420</v>
      </c>
      <c r="E1751" s="21">
        <v>13</v>
      </c>
      <c r="G1751" s="1" t="s">
        <v>2390</v>
      </c>
      <c r="H1751" s="1" t="s">
        <v>7222</v>
      </c>
      <c r="I1751" s="5">
        <v>40672</v>
      </c>
      <c r="J1751" s="18" t="s">
        <v>10</v>
      </c>
      <c r="K1751" s="1" t="s">
        <v>181</v>
      </c>
      <c r="L1751" s="1" t="s">
        <v>2956</v>
      </c>
      <c r="M1751" s="5"/>
      <c r="N1751" s="5" t="s">
        <v>10</v>
      </c>
      <c r="O1751" s="5" t="s">
        <v>10</v>
      </c>
      <c r="P1751" s="1" t="s">
        <v>3710</v>
      </c>
      <c r="Q1751" s="1" t="s">
        <v>3711</v>
      </c>
      <c r="R1751" s="6" t="s">
        <v>4305</v>
      </c>
      <c r="S1751" s="1" t="s">
        <v>6243</v>
      </c>
      <c r="T1751" s="1">
        <v>478</v>
      </c>
      <c r="U1751" s="1">
        <v>319</v>
      </c>
      <c r="V1751" s="1">
        <v>319</v>
      </c>
      <c r="AH1751" s="1">
        <v>159</v>
      </c>
      <c r="AI1751" s="1">
        <v>159</v>
      </c>
    </row>
    <row r="1752" spans="1:43" x14ac:dyDescent="0.2">
      <c r="A1752" s="1" t="s">
        <v>2330</v>
      </c>
      <c r="B1752" s="1">
        <v>21573128</v>
      </c>
      <c r="C1752" s="1" t="s">
        <v>7420</v>
      </c>
      <c r="E1752" s="21">
        <v>20</v>
      </c>
      <c r="G1752" s="1" t="s">
        <v>1002</v>
      </c>
      <c r="H1752" s="1" t="s">
        <v>430</v>
      </c>
      <c r="I1752" s="5">
        <v>40669</v>
      </c>
      <c r="J1752" s="18" t="s">
        <v>11</v>
      </c>
      <c r="K1752" s="1" t="s">
        <v>181</v>
      </c>
      <c r="L1752" s="1" t="s">
        <v>2329</v>
      </c>
      <c r="M1752" s="5"/>
      <c r="N1752" s="5" t="s">
        <v>10</v>
      </c>
      <c r="O1752" s="5" t="s">
        <v>10</v>
      </c>
      <c r="P1752" s="1" t="s">
        <v>4036</v>
      </c>
      <c r="Q1752" s="1" t="s">
        <v>4344</v>
      </c>
      <c r="R1752" s="2" t="s">
        <v>4439</v>
      </c>
      <c r="S1752" s="1" t="s">
        <v>6242</v>
      </c>
      <c r="T1752" s="1">
        <v>6950</v>
      </c>
      <c r="U1752" s="1">
        <v>1747</v>
      </c>
      <c r="X1752" s="1">
        <v>1747</v>
      </c>
      <c r="AH1752" s="1">
        <v>5203</v>
      </c>
      <c r="AK1752" s="1">
        <v>5203</v>
      </c>
    </row>
    <row r="1753" spans="1:43" x14ac:dyDescent="0.2">
      <c r="A1753" s="1" t="s">
        <v>2435</v>
      </c>
      <c r="B1753" s="1">
        <v>21573907</v>
      </c>
      <c r="C1753" s="1" t="s">
        <v>7420</v>
      </c>
      <c r="E1753" s="21">
        <v>26</v>
      </c>
      <c r="G1753" s="1" t="s">
        <v>61</v>
      </c>
      <c r="H1753" s="1" t="s">
        <v>7396</v>
      </c>
      <c r="I1753" s="5">
        <v>40678</v>
      </c>
      <c r="J1753" s="18" t="s">
        <v>11</v>
      </c>
      <c r="K1753" s="1" t="s">
        <v>862</v>
      </c>
      <c r="L1753" s="1" t="s">
        <v>2433</v>
      </c>
      <c r="M1753" s="5"/>
      <c r="N1753" s="5" t="s">
        <v>10</v>
      </c>
      <c r="O1753" s="5" t="s">
        <v>10</v>
      </c>
      <c r="P1753" s="1" t="s">
        <v>2434</v>
      </c>
      <c r="Q1753" s="1" t="s">
        <v>6098</v>
      </c>
      <c r="R1753" s="2" t="s">
        <v>4608</v>
      </c>
      <c r="S1753" s="1" t="s">
        <v>6270</v>
      </c>
      <c r="T1753" s="1">
        <v>2584</v>
      </c>
      <c r="U1753" s="1">
        <v>2584</v>
      </c>
      <c r="Z1753" s="1">
        <v>2584</v>
      </c>
    </row>
    <row r="1754" spans="1:43" x14ac:dyDescent="0.2">
      <c r="A1754" s="1" t="s">
        <v>2321</v>
      </c>
      <c r="B1754" s="1">
        <v>21589926</v>
      </c>
      <c r="C1754" s="1" t="s">
        <v>7420</v>
      </c>
      <c r="E1754" s="21">
        <v>72</v>
      </c>
      <c r="G1754" s="1" t="s">
        <v>833</v>
      </c>
      <c r="H1754" s="1" t="s">
        <v>7265</v>
      </c>
      <c r="I1754" s="5">
        <v>40674</v>
      </c>
      <c r="J1754" s="18" t="s">
        <v>10</v>
      </c>
      <c r="K1754" s="1" t="s">
        <v>181</v>
      </c>
      <c r="L1754" s="1" t="s">
        <v>2957</v>
      </c>
      <c r="M1754" s="5"/>
      <c r="N1754" s="5" t="s">
        <v>10</v>
      </c>
      <c r="O1754" s="5" t="s">
        <v>10</v>
      </c>
      <c r="P1754" s="1" t="s">
        <v>5260</v>
      </c>
      <c r="Q1754" s="1" t="s">
        <v>5473</v>
      </c>
      <c r="R1754" s="2" t="s">
        <v>5758</v>
      </c>
      <c r="S1754" s="1" t="s">
        <v>6244</v>
      </c>
      <c r="T1754" s="1">
        <v>5598</v>
      </c>
      <c r="U1754" s="1">
        <v>3740</v>
      </c>
      <c r="V1754" s="1">
        <v>3740</v>
      </c>
      <c r="AH1754" s="1">
        <v>1858</v>
      </c>
      <c r="AQ1754" s="1">
        <v>1858</v>
      </c>
    </row>
    <row r="1755" spans="1:43" x14ac:dyDescent="0.2">
      <c r="A1755" s="1" t="s">
        <v>1715</v>
      </c>
      <c r="B1755" s="1">
        <v>21592478</v>
      </c>
      <c r="C1755" s="1" t="s">
        <v>7420</v>
      </c>
      <c r="E1755" s="21">
        <v>23</v>
      </c>
      <c r="G1755" s="1" t="s">
        <v>6749</v>
      </c>
      <c r="H1755" s="1" t="s">
        <v>7287</v>
      </c>
      <c r="I1755" s="5">
        <v>40660</v>
      </c>
      <c r="J1755" s="18" t="s">
        <v>10</v>
      </c>
      <c r="K1755" s="1" t="s">
        <v>816</v>
      </c>
      <c r="L1755" s="1" t="s">
        <v>2958</v>
      </c>
      <c r="M1755" s="5"/>
      <c r="N1755" s="5" t="s">
        <v>10</v>
      </c>
      <c r="O1755" s="5" t="s">
        <v>10</v>
      </c>
      <c r="P1755" s="1" t="s">
        <v>3448</v>
      </c>
      <c r="Q1755" s="1" t="s">
        <v>5322</v>
      </c>
      <c r="R1755" s="2" t="s">
        <v>5778</v>
      </c>
      <c r="S1755" s="1" t="s">
        <v>6243</v>
      </c>
      <c r="T1755" s="1">
        <v>14522</v>
      </c>
      <c r="U1755" s="1">
        <v>5059</v>
      </c>
      <c r="V1755" s="1">
        <v>5059</v>
      </c>
      <c r="AH1755" s="1">
        <v>9463</v>
      </c>
      <c r="AI1755" s="1">
        <v>9463</v>
      </c>
    </row>
    <row r="1756" spans="1:43" x14ac:dyDescent="0.2">
      <c r="A1756" s="1" t="s">
        <v>2431</v>
      </c>
      <c r="B1756" s="1">
        <v>21602305</v>
      </c>
      <c r="C1756" s="1" t="s">
        <v>7420</v>
      </c>
      <c r="E1756" s="21">
        <v>240</v>
      </c>
      <c r="F1756" s="17">
        <v>1</v>
      </c>
      <c r="G1756" s="1" t="s">
        <v>2432</v>
      </c>
      <c r="H1756" s="1" t="s">
        <v>7366</v>
      </c>
      <c r="I1756" s="5">
        <v>40683</v>
      </c>
      <c r="J1756" s="18" t="s">
        <v>10</v>
      </c>
      <c r="K1756" s="1" t="s">
        <v>1817</v>
      </c>
      <c r="L1756" s="1" t="s">
        <v>2959</v>
      </c>
      <c r="M1756" s="5"/>
      <c r="N1756" s="5" t="s">
        <v>10</v>
      </c>
      <c r="O1756" s="5" t="s">
        <v>10</v>
      </c>
      <c r="P1756" s="2" t="s">
        <v>6653</v>
      </c>
      <c r="Q1756" s="1" t="s">
        <v>33</v>
      </c>
      <c r="R1756" s="2" t="s">
        <v>6469</v>
      </c>
      <c r="S1756" s="1" t="s">
        <v>6244</v>
      </c>
      <c r="T1756" s="1">
        <v>2318</v>
      </c>
      <c r="U1756" s="1">
        <v>2318</v>
      </c>
      <c r="AD1756" s="1">
        <v>2318</v>
      </c>
    </row>
    <row r="1757" spans="1:43" x14ac:dyDescent="0.2">
      <c r="A1757" s="1" t="s">
        <v>2366</v>
      </c>
      <c r="B1757" s="1">
        <v>21602797</v>
      </c>
      <c r="C1757" s="1" t="s">
        <v>7420</v>
      </c>
      <c r="E1757" s="21">
        <v>25</v>
      </c>
      <c r="G1757" s="1" t="s">
        <v>2367</v>
      </c>
      <c r="H1757" s="1" t="s">
        <v>7073</v>
      </c>
      <c r="I1757" s="5">
        <v>40685</v>
      </c>
      <c r="J1757" s="18" t="s">
        <v>11</v>
      </c>
      <c r="K1757" s="1" t="s">
        <v>28</v>
      </c>
      <c r="L1757" s="1" t="s">
        <v>2365</v>
      </c>
      <c r="M1757" s="5"/>
      <c r="N1757" s="5" t="s">
        <v>10</v>
      </c>
      <c r="O1757" s="5" t="s">
        <v>10</v>
      </c>
      <c r="P1757" s="1" t="s">
        <v>6068</v>
      </c>
      <c r="Q1757" s="1" t="s">
        <v>6285</v>
      </c>
      <c r="R1757" s="2" t="s">
        <v>4890</v>
      </c>
      <c r="S1757" s="1" t="s">
        <v>6243</v>
      </c>
      <c r="T1757" s="1">
        <v>3467</v>
      </c>
      <c r="U1757" s="1">
        <v>2494</v>
      </c>
      <c r="V1757" s="1">
        <v>2494</v>
      </c>
      <c r="AH1757" s="1">
        <v>973</v>
      </c>
      <c r="AI1757" s="1">
        <v>973</v>
      </c>
    </row>
    <row r="1758" spans="1:43" x14ac:dyDescent="0.2">
      <c r="A1758" s="1" t="s">
        <v>2364</v>
      </c>
      <c r="B1758" s="1">
        <v>21602798</v>
      </c>
      <c r="C1758" s="1" t="s">
        <v>7420</v>
      </c>
      <c r="E1758" s="21">
        <v>19</v>
      </c>
      <c r="G1758" s="1" t="s">
        <v>77</v>
      </c>
      <c r="H1758" s="1" t="s">
        <v>6689</v>
      </c>
      <c r="I1758" s="5">
        <v>40685</v>
      </c>
      <c r="J1758" s="18" t="s">
        <v>11</v>
      </c>
      <c r="K1758" s="1" t="s">
        <v>28</v>
      </c>
      <c r="L1758" s="1" t="s">
        <v>2363</v>
      </c>
      <c r="M1758" s="5"/>
      <c r="N1758" s="5" t="s">
        <v>11</v>
      </c>
      <c r="O1758" s="5" t="s">
        <v>11</v>
      </c>
      <c r="P1758" s="1" t="s">
        <v>4366</v>
      </c>
      <c r="Q1758" s="1" t="s">
        <v>4056</v>
      </c>
      <c r="R1758" s="2" t="s">
        <v>4744</v>
      </c>
      <c r="S1758" s="1" t="s">
        <v>6440</v>
      </c>
      <c r="T1758" s="1">
        <v>11923</v>
      </c>
      <c r="U1758" s="1">
        <v>6715</v>
      </c>
      <c r="W1758" s="1">
        <v>6715</v>
      </c>
      <c r="AH1758" s="1">
        <v>5208</v>
      </c>
      <c r="AJ1758" s="1">
        <v>5208</v>
      </c>
    </row>
    <row r="1759" spans="1:43" x14ac:dyDescent="0.2">
      <c r="A1759" s="1" t="s">
        <v>2430</v>
      </c>
      <c r="B1759" s="1">
        <v>21606135</v>
      </c>
      <c r="C1759" s="1" t="s">
        <v>7420</v>
      </c>
      <c r="E1759" s="21">
        <v>960</v>
      </c>
      <c r="G1759" s="1" t="s">
        <v>165</v>
      </c>
      <c r="H1759" s="1" t="s">
        <v>7192</v>
      </c>
      <c r="I1759" s="5">
        <v>40686</v>
      </c>
      <c r="J1759" s="18" t="s">
        <v>11</v>
      </c>
      <c r="K1759" s="1" t="s">
        <v>551</v>
      </c>
      <c r="L1759" s="1" t="s">
        <v>2429</v>
      </c>
      <c r="M1759" s="5"/>
      <c r="N1759" s="5" t="s">
        <v>10</v>
      </c>
      <c r="O1759" s="5" t="s">
        <v>10</v>
      </c>
      <c r="P1759" s="1" t="s">
        <v>5523</v>
      </c>
      <c r="Q1759" s="1" t="s">
        <v>5524</v>
      </c>
      <c r="R1759" s="2" t="s">
        <v>4824</v>
      </c>
      <c r="S1759" s="1" t="s">
        <v>6243</v>
      </c>
      <c r="T1759" s="1">
        <v>59789</v>
      </c>
      <c r="U1759" s="1">
        <v>5031</v>
      </c>
      <c r="V1759" s="1">
        <v>5031</v>
      </c>
      <c r="AH1759" s="1">
        <v>54758</v>
      </c>
      <c r="AI1759" s="1">
        <v>54758</v>
      </c>
    </row>
    <row r="1760" spans="1:43" x14ac:dyDescent="0.2">
      <c r="A1760" s="1" t="s">
        <v>2144</v>
      </c>
      <c r="B1760" s="1">
        <v>21611967</v>
      </c>
      <c r="C1760" s="1" t="s">
        <v>7420</v>
      </c>
      <c r="D1760" s="1">
        <v>1</v>
      </c>
      <c r="E1760" s="21">
        <v>0</v>
      </c>
      <c r="G1760" s="1" t="s">
        <v>6913</v>
      </c>
      <c r="H1760" s="1" t="s">
        <v>7232</v>
      </c>
      <c r="I1760" s="5">
        <v>40695</v>
      </c>
      <c r="J1760" s="18" t="s">
        <v>11</v>
      </c>
      <c r="K1760" s="1" t="s">
        <v>1145</v>
      </c>
      <c r="L1760" s="1" t="s">
        <v>2391</v>
      </c>
      <c r="M1760" s="5"/>
      <c r="N1760" s="5" t="s">
        <v>10</v>
      </c>
      <c r="O1760" s="5" t="s">
        <v>10</v>
      </c>
      <c r="P1760" s="1" t="s">
        <v>3497</v>
      </c>
      <c r="Q1760" s="1" t="s">
        <v>33</v>
      </c>
      <c r="R1760" s="2" t="s">
        <v>4302</v>
      </c>
      <c r="S1760" s="1" t="s">
        <v>6243</v>
      </c>
      <c r="T1760" s="1">
        <v>8481</v>
      </c>
      <c r="U1760" s="1">
        <v>8481</v>
      </c>
      <c r="V1760" s="1">
        <v>8481</v>
      </c>
    </row>
    <row r="1761" spans="1:44" x14ac:dyDescent="0.2">
      <c r="A1761" s="1" t="s">
        <v>2427</v>
      </c>
      <c r="B1761" s="1">
        <v>21612516</v>
      </c>
      <c r="C1761" s="1" t="s">
        <v>7420</v>
      </c>
      <c r="E1761" s="21">
        <v>66</v>
      </c>
      <c r="G1761" s="1" t="s">
        <v>1387</v>
      </c>
      <c r="H1761" s="1" t="s">
        <v>2428</v>
      </c>
      <c r="I1761" s="5">
        <v>40688</v>
      </c>
      <c r="J1761" s="18" t="s">
        <v>11</v>
      </c>
      <c r="K1761" s="1" t="s">
        <v>2425</v>
      </c>
      <c r="L1761" s="1" t="s">
        <v>2426</v>
      </c>
      <c r="M1761" s="5"/>
      <c r="N1761" s="5" t="s">
        <v>10</v>
      </c>
      <c r="O1761" s="5" t="s">
        <v>10</v>
      </c>
      <c r="P1761" s="1" t="s">
        <v>3640</v>
      </c>
      <c r="Q1761" s="1" t="s">
        <v>3641</v>
      </c>
      <c r="R1761" s="2" t="s">
        <v>4795</v>
      </c>
      <c r="S1761" s="1" t="s">
        <v>6243</v>
      </c>
      <c r="T1761" s="1">
        <v>1239</v>
      </c>
      <c r="U1761" s="1">
        <v>963</v>
      </c>
      <c r="V1761" s="1">
        <v>963</v>
      </c>
      <c r="AH1761" s="1">
        <v>276</v>
      </c>
      <c r="AI1761" s="1">
        <v>276</v>
      </c>
    </row>
    <row r="1762" spans="1:44" x14ac:dyDescent="0.2">
      <c r="A1762" s="1" t="s">
        <v>1473</v>
      </c>
      <c r="B1762" s="1">
        <v>21618603</v>
      </c>
      <c r="C1762" s="1" t="s">
        <v>7420</v>
      </c>
      <c r="E1762" s="21">
        <v>10</v>
      </c>
      <c r="G1762" s="1" t="s">
        <v>7107</v>
      </c>
      <c r="H1762" s="1" t="s">
        <v>6797</v>
      </c>
      <c r="I1762" s="5">
        <v>40689</v>
      </c>
      <c r="J1762" s="18" t="s">
        <v>10</v>
      </c>
      <c r="K1762" s="1" t="s">
        <v>2891</v>
      </c>
      <c r="L1762" s="1" t="s">
        <v>2960</v>
      </c>
      <c r="M1762" s="5"/>
      <c r="N1762" s="5" t="s">
        <v>10</v>
      </c>
      <c r="O1762" s="5" t="s">
        <v>10</v>
      </c>
      <c r="P1762" s="1" t="s">
        <v>6658</v>
      </c>
      <c r="Q1762" s="1" t="s">
        <v>33</v>
      </c>
      <c r="R1762" s="2" t="s">
        <v>5812</v>
      </c>
      <c r="S1762" s="1" t="s">
        <v>6244</v>
      </c>
      <c r="T1762" s="1">
        <v>1650</v>
      </c>
      <c r="U1762" s="1">
        <v>1650</v>
      </c>
      <c r="V1762" s="1">
        <v>816</v>
      </c>
      <c r="W1762" s="1">
        <v>57</v>
      </c>
      <c r="X1762" s="1">
        <v>777</v>
      </c>
    </row>
    <row r="1763" spans="1:44" x14ac:dyDescent="0.2">
      <c r="A1763" s="1" t="s">
        <v>2424</v>
      </c>
      <c r="B1763" s="1">
        <v>21621269</v>
      </c>
      <c r="C1763" s="1" t="s">
        <v>7420</v>
      </c>
      <c r="E1763" s="21">
        <v>248</v>
      </c>
      <c r="G1763" s="1" t="s">
        <v>6684</v>
      </c>
      <c r="H1763" s="1" t="s">
        <v>6683</v>
      </c>
      <c r="I1763" s="5">
        <v>40689</v>
      </c>
      <c r="J1763" s="18" t="s">
        <v>11</v>
      </c>
      <c r="K1763" s="1" t="s">
        <v>1481</v>
      </c>
      <c r="L1763" s="1" t="s">
        <v>2423</v>
      </c>
      <c r="M1763" s="5"/>
      <c r="N1763" s="5" t="s">
        <v>11</v>
      </c>
      <c r="O1763" s="5" t="s">
        <v>10</v>
      </c>
      <c r="P1763" s="1" t="s">
        <v>3763</v>
      </c>
      <c r="Q1763" s="1" t="s">
        <v>33</v>
      </c>
      <c r="R1763" s="2" t="s">
        <v>4299</v>
      </c>
      <c r="S1763" s="1" t="s">
        <v>6243</v>
      </c>
      <c r="T1763" s="1">
        <v>3356</v>
      </c>
      <c r="U1763" s="1">
        <v>3356</v>
      </c>
      <c r="V1763" s="1">
        <v>3356</v>
      </c>
    </row>
    <row r="1764" spans="1:44" x14ac:dyDescent="0.2">
      <c r="A1764" s="1" t="s">
        <v>3041</v>
      </c>
      <c r="B1764" s="1">
        <v>21622719</v>
      </c>
      <c r="C1764" s="1" t="s">
        <v>7420</v>
      </c>
      <c r="E1764" s="21">
        <v>4</v>
      </c>
      <c r="G1764" s="1" t="s">
        <v>3043</v>
      </c>
      <c r="H1764" s="1" t="s">
        <v>6894</v>
      </c>
      <c r="I1764" s="5">
        <v>40690</v>
      </c>
      <c r="J1764" s="18" t="s">
        <v>10</v>
      </c>
      <c r="K1764" s="15" t="s">
        <v>2053</v>
      </c>
      <c r="L1764" s="15" t="s">
        <v>6505</v>
      </c>
      <c r="N1764" s="5" t="s">
        <v>10</v>
      </c>
      <c r="O1764" s="5" t="s">
        <v>10</v>
      </c>
      <c r="P1764" s="1" t="s">
        <v>6406</v>
      </c>
      <c r="Q1764" s="1" t="s">
        <v>6407</v>
      </c>
      <c r="R1764" s="2" t="s">
        <v>6467</v>
      </c>
      <c r="S1764" s="1" t="s">
        <v>6244</v>
      </c>
      <c r="T1764" s="1">
        <v>1008</v>
      </c>
      <c r="U1764" s="1">
        <v>438</v>
      </c>
      <c r="V1764" s="1">
        <v>428</v>
      </c>
      <c r="W1764" s="1">
        <v>3</v>
      </c>
      <c r="AE1764" s="1">
        <v>7</v>
      </c>
      <c r="AH1764" s="1">
        <v>570</v>
      </c>
      <c r="AI1764" s="1">
        <v>556</v>
      </c>
      <c r="AJ1764" s="1">
        <v>4</v>
      </c>
      <c r="AR1764" s="1">
        <v>10</v>
      </c>
    </row>
    <row r="1765" spans="1:44" x14ac:dyDescent="0.2">
      <c r="A1765" s="1" t="s">
        <v>1476</v>
      </c>
      <c r="B1765" s="1">
        <v>21623375</v>
      </c>
      <c r="C1765" s="1" t="s">
        <v>7420</v>
      </c>
      <c r="E1765" s="21">
        <v>29</v>
      </c>
      <c r="G1765" s="1" t="s">
        <v>1477</v>
      </c>
      <c r="H1765" s="1" t="s">
        <v>1478</v>
      </c>
      <c r="I1765" s="5">
        <v>40692</v>
      </c>
      <c r="J1765" s="18" t="s">
        <v>11</v>
      </c>
      <c r="K1765" s="1" t="s">
        <v>28</v>
      </c>
      <c r="L1765" s="1" t="s">
        <v>2416</v>
      </c>
      <c r="M1765" s="5"/>
      <c r="N1765" s="5" t="s">
        <v>10</v>
      </c>
      <c r="O1765" s="5" t="s">
        <v>10</v>
      </c>
      <c r="P1765" s="1" t="s">
        <v>5380</v>
      </c>
      <c r="Q1765" s="1" t="s">
        <v>5573</v>
      </c>
      <c r="R1765" s="2" t="s">
        <v>4768</v>
      </c>
      <c r="S1765" s="1" t="s">
        <v>6243</v>
      </c>
      <c r="T1765" s="1">
        <v>6585</v>
      </c>
      <c r="U1765" s="1">
        <v>3440</v>
      </c>
      <c r="V1765" s="1">
        <v>3440</v>
      </c>
      <c r="AH1765" s="1">
        <v>3145</v>
      </c>
      <c r="AI1765" s="1">
        <v>3145</v>
      </c>
    </row>
    <row r="1766" spans="1:44" x14ac:dyDescent="0.2">
      <c r="A1766" s="1" t="s">
        <v>2385</v>
      </c>
      <c r="B1766" s="1">
        <v>21625490</v>
      </c>
      <c r="C1766" s="1" t="s">
        <v>7420</v>
      </c>
      <c r="E1766" s="21">
        <v>285</v>
      </c>
      <c r="G1766" s="1" t="s">
        <v>2386</v>
      </c>
      <c r="H1766" s="1" t="s">
        <v>1208</v>
      </c>
      <c r="I1766" s="5">
        <v>40683</v>
      </c>
      <c r="J1766" s="18" t="s">
        <v>11</v>
      </c>
      <c r="K1766" s="1" t="s">
        <v>181</v>
      </c>
      <c r="L1766" s="1" t="s">
        <v>2383</v>
      </c>
      <c r="M1766" s="5"/>
      <c r="N1766" s="5" t="s">
        <v>10</v>
      </c>
      <c r="O1766" s="5" t="s">
        <v>10</v>
      </c>
      <c r="P1766" s="1" t="s">
        <v>2384</v>
      </c>
      <c r="Q1766" s="1" t="s">
        <v>4246</v>
      </c>
      <c r="R1766" s="2" t="s">
        <v>5022</v>
      </c>
      <c r="S1766" s="1" t="s">
        <v>6242</v>
      </c>
      <c r="T1766" s="1">
        <v>3835</v>
      </c>
      <c r="U1766" s="1">
        <v>1001</v>
      </c>
      <c r="X1766" s="1">
        <v>1001</v>
      </c>
      <c r="AH1766" s="1">
        <v>2834</v>
      </c>
      <c r="AK1766" s="1">
        <v>2834</v>
      </c>
    </row>
    <row r="1767" spans="1:44" x14ac:dyDescent="0.2">
      <c r="A1767" s="1" t="s">
        <v>2422</v>
      </c>
      <c r="B1767" s="1">
        <v>21627779</v>
      </c>
      <c r="C1767" s="1" t="s">
        <v>7420</v>
      </c>
      <c r="E1767" s="21">
        <v>117</v>
      </c>
      <c r="G1767" s="1" t="s">
        <v>89</v>
      </c>
      <c r="H1767" s="1" t="s">
        <v>7126</v>
      </c>
      <c r="I1767" s="5">
        <v>40694</v>
      </c>
      <c r="J1767" s="18" t="s">
        <v>11</v>
      </c>
      <c r="K1767" s="1" t="s">
        <v>2315</v>
      </c>
      <c r="L1767" s="1" t="s">
        <v>2421</v>
      </c>
      <c r="M1767" s="5"/>
      <c r="N1767" s="5" t="s">
        <v>10</v>
      </c>
      <c r="O1767" s="5" t="s">
        <v>10</v>
      </c>
      <c r="P1767" s="1" t="s">
        <v>6365</v>
      </c>
      <c r="Q1767" s="1" t="s">
        <v>5252</v>
      </c>
      <c r="R1767" s="2" t="s">
        <v>6013</v>
      </c>
      <c r="S1767" s="1" t="s">
        <v>6243</v>
      </c>
      <c r="T1767" s="1">
        <v>24522</v>
      </c>
      <c r="U1767" s="1">
        <v>6015</v>
      </c>
      <c r="V1767" s="1">
        <v>6015</v>
      </c>
      <c r="AH1767" s="1">
        <v>18507</v>
      </c>
      <c r="AI1767" s="1">
        <v>18507</v>
      </c>
    </row>
    <row r="1768" spans="1:44" x14ac:dyDescent="0.2">
      <c r="A1768" s="1" t="s">
        <v>2417</v>
      </c>
      <c r="B1768" s="1">
        <v>21637794</v>
      </c>
      <c r="C1768" s="1" t="s">
        <v>7420</v>
      </c>
      <c r="E1768" s="21">
        <v>11376</v>
      </c>
      <c r="F1768" s="17">
        <v>1</v>
      </c>
      <c r="G1768" s="1" t="s">
        <v>2418</v>
      </c>
      <c r="H1768" s="1" t="s">
        <v>7359</v>
      </c>
      <c r="I1768" s="5">
        <v>40689</v>
      </c>
      <c r="J1768" s="18" t="s">
        <v>10</v>
      </c>
      <c r="K1768" s="1" t="s">
        <v>65</v>
      </c>
      <c r="L1768" s="1" t="s">
        <v>2961</v>
      </c>
      <c r="M1768" s="5"/>
      <c r="N1768" s="5" t="s">
        <v>10</v>
      </c>
      <c r="O1768" s="5" t="s">
        <v>10</v>
      </c>
      <c r="P1768" s="9" t="s">
        <v>3896</v>
      </c>
      <c r="Q1768" s="2" t="s">
        <v>6097</v>
      </c>
      <c r="R1768" s="10" t="s">
        <v>6056</v>
      </c>
      <c r="S1768" s="1" t="s">
        <v>6389</v>
      </c>
      <c r="T1768" s="1">
        <v>532</v>
      </c>
      <c r="U1768" s="1">
        <v>532</v>
      </c>
      <c r="V1768" s="1">
        <v>504</v>
      </c>
      <c r="AE1768" s="1">
        <v>28</v>
      </c>
    </row>
    <row r="1769" spans="1:44" x14ac:dyDescent="0.2">
      <c r="A1769" s="1" t="s">
        <v>1298</v>
      </c>
      <c r="B1769" s="1">
        <v>21640322</v>
      </c>
      <c r="C1769" s="1" t="s">
        <v>7420</v>
      </c>
      <c r="E1769" s="21">
        <v>43</v>
      </c>
      <c r="G1769" s="1" t="s">
        <v>1904</v>
      </c>
      <c r="H1769" s="1" t="s">
        <v>1102</v>
      </c>
      <c r="I1769" s="5">
        <v>40695</v>
      </c>
      <c r="J1769" s="18" t="s">
        <v>11</v>
      </c>
      <c r="K1769" s="1" t="s">
        <v>16</v>
      </c>
      <c r="L1769" s="1" t="s">
        <v>2419</v>
      </c>
      <c r="M1769" s="5"/>
      <c r="N1769" s="5" t="s">
        <v>10</v>
      </c>
      <c r="O1769" s="5" t="s">
        <v>10</v>
      </c>
      <c r="P1769" s="1" t="s">
        <v>2420</v>
      </c>
      <c r="Q1769" s="1" t="s">
        <v>4375</v>
      </c>
      <c r="R1769" s="2" t="s">
        <v>4376</v>
      </c>
      <c r="S1769" s="1" t="s">
        <v>6242</v>
      </c>
      <c r="T1769" s="1">
        <v>9533</v>
      </c>
      <c r="U1769" s="1">
        <v>1088</v>
      </c>
      <c r="X1769" s="1">
        <v>1088</v>
      </c>
      <c r="AH1769" s="1">
        <v>8445</v>
      </c>
      <c r="AK1769" s="1">
        <v>8445</v>
      </c>
    </row>
    <row r="1770" spans="1:44" x14ac:dyDescent="0.2">
      <c r="A1770" s="1" t="s">
        <v>2437</v>
      </c>
      <c r="B1770" s="1">
        <v>21642893</v>
      </c>
      <c r="C1770" s="1" t="s">
        <v>7420</v>
      </c>
      <c r="E1770" s="21">
        <v>34</v>
      </c>
      <c r="F1770" s="17">
        <v>1</v>
      </c>
      <c r="G1770" s="1" t="s">
        <v>6795</v>
      </c>
      <c r="H1770" s="1" t="s">
        <v>7343</v>
      </c>
      <c r="I1770" s="5">
        <v>40696</v>
      </c>
      <c r="J1770" s="18" t="s">
        <v>10</v>
      </c>
      <c r="K1770" s="1" t="s">
        <v>294</v>
      </c>
      <c r="L1770" s="1" t="s">
        <v>2962</v>
      </c>
      <c r="M1770" s="5"/>
      <c r="N1770" s="5" t="s">
        <v>10</v>
      </c>
      <c r="O1770" s="5" t="s">
        <v>10</v>
      </c>
      <c r="P1770" s="1" t="s">
        <v>5387</v>
      </c>
      <c r="Q1770" s="1" t="s">
        <v>33</v>
      </c>
      <c r="R1770" s="2" t="s">
        <v>3363</v>
      </c>
      <c r="S1770" s="1" t="s">
        <v>6243</v>
      </c>
      <c r="T1770" s="1">
        <v>77</v>
      </c>
      <c r="U1770" s="1">
        <v>77</v>
      </c>
      <c r="V1770" s="1">
        <v>77</v>
      </c>
    </row>
    <row r="1771" spans="1:44" x14ac:dyDescent="0.2">
      <c r="A1771" s="1" t="s">
        <v>1515</v>
      </c>
      <c r="B1771" s="1">
        <v>21642993</v>
      </c>
      <c r="C1771" s="1" t="s">
        <v>7420</v>
      </c>
      <c r="E1771" s="21">
        <v>64</v>
      </c>
      <c r="G1771" s="1" t="s">
        <v>6958</v>
      </c>
      <c r="H1771" s="1" t="s">
        <v>6959</v>
      </c>
      <c r="I1771" s="5">
        <v>40699</v>
      </c>
      <c r="J1771" s="18" t="s">
        <v>11</v>
      </c>
      <c r="K1771" s="1" t="s">
        <v>28</v>
      </c>
      <c r="L1771" s="1" t="s">
        <v>2436</v>
      </c>
      <c r="M1771" s="5"/>
      <c r="N1771" s="5" t="s">
        <v>10</v>
      </c>
      <c r="O1771" s="5" t="s">
        <v>10</v>
      </c>
      <c r="P1771" s="1" t="s">
        <v>4196</v>
      </c>
      <c r="Q1771" s="1" t="s">
        <v>4443</v>
      </c>
      <c r="R1771" s="2" t="s">
        <v>4662</v>
      </c>
      <c r="S1771" s="1" t="s">
        <v>6242</v>
      </c>
      <c r="T1771" s="1">
        <v>12218</v>
      </c>
      <c r="U1771" s="1">
        <v>4075</v>
      </c>
      <c r="X1771" s="1">
        <v>4075</v>
      </c>
      <c r="AH1771" s="1">
        <v>8143</v>
      </c>
      <c r="AK1771" s="1">
        <v>8143</v>
      </c>
    </row>
    <row r="1772" spans="1:44" x14ac:dyDescent="0.2">
      <c r="A1772" s="1" t="s">
        <v>2454</v>
      </c>
      <c r="B1772" s="1">
        <v>21646302</v>
      </c>
      <c r="C1772" s="1" t="s">
        <v>7420</v>
      </c>
      <c r="E1772" s="21">
        <v>54</v>
      </c>
      <c r="G1772" s="1" t="s">
        <v>6710</v>
      </c>
      <c r="H1772" s="1" t="s">
        <v>7215</v>
      </c>
      <c r="I1772" s="5">
        <v>40700</v>
      </c>
      <c r="J1772" s="18" t="s">
        <v>11</v>
      </c>
      <c r="K1772" s="1" t="s">
        <v>2452</v>
      </c>
      <c r="L1772" s="1" t="s">
        <v>2453</v>
      </c>
      <c r="M1772" s="5"/>
      <c r="N1772" s="5" t="s">
        <v>10</v>
      </c>
      <c r="O1772" s="5" t="s">
        <v>10</v>
      </c>
      <c r="P1772" s="1" t="s">
        <v>5338</v>
      </c>
      <c r="Q1772" s="1" t="s">
        <v>33</v>
      </c>
      <c r="R1772" s="2" t="s">
        <v>4385</v>
      </c>
      <c r="S1772" s="1" t="s">
        <v>6243</v>
      </c>
      <c r="T1772" s="1">
        <v>6307</v>
      </c>
      <c r="U1772" s="1">
        <v>6307</v>
      </c>
      <c r="V1772" s="1">
        <v>6307</v>
      </c>
    </row>
    <row r="1773" spans="1:44" x14ac:dyDescent="0.2">
      <c r="A1773" s="1" t="s">
        <v>2451</v>
      </c>
      <c r="B1773" s="1">
        <v>21647700</v>
      </c>
      <c r="C1773" s="1" t="s">
        <v>7420</v>
      </c>
      <c r="E1773" s="21">
        <v>25</v>
      </c>
      <c r="G1773" s="1" t="s">
        <v>6970</v>
      </c>
      <c r="H1773" s="1" t="s">
        <v>7399</v>
      </c>
      <c r="I1773" s="5">
        <v>40701</v>
      </c>
      <c r="J1773" s="18" t="s">
        <v>11</v>
      </c>
      <c r="K1773" s="1" t="s">
        <v>862</v>
      </c>
      <c r="L1773" s="1" t="s">
        <v>2448</v>
      </c>
      <c r="M1773" s="5"/>
      <c r="N1773" s="5" t="s">
        <v>10</v>
      </c>
      <c r="O1773" s="5" t="s">
        <v>10</v>
      </c>
      <c r="P1773" s="1" t="s">
        <v>2449</v>
      </c>
      <c r="Q1773" s="1" t="s">
        <v>2450</v>
      </c>
      <c r="R1773" s="2" t="s">
        <v>4938</v>
      </c>
      <c r="S1773" s="1" t="s">
        <v>6270</v>
      </c>
      <c r="T1773" s="1">
        <v>2928</v>
      </c>
      <c r="U1773" s="1">
        <v>1618</v>
      </c>
      <c r="Z1773" s="1">
        <v>1618</v>
      </c>
      <c r="AH1773" s="1">
        <v>1310</v>
      </c>
      <c r="AM1773" s="1">
        <v>1310</v>
      </c>
    </row>
    <row r="1774" spans="1:44" x14ac:dyDescent="0.2">
      <c r="A1774" s="1" t="s">
        <v>1515</v>
      </c>
      <c r="B1774" s="1">
        <v>21647738</v>
      </c>
      <c r="C1774" s="1" t="s">
        <v>7420</v>
      </c>
      <c r="E1774" s="21">
        <v>46</v>
      </c>
      <c r="G1774" s="1" t="s">
        <v>6900</v>
      </c>
      <c r="H1774" s="1" t="s">
        <v>7406</v>
      </c>
      <c r="I1774" s="5">
        <v>40701</v>
      </c>
      <c r="J1774" s="18" t="s">
        <v>11</v>
      </c>
      <c r="K1774" s="1" t="s">
        <v>492</v>
      </c>
      <c r="L1774" s="1" t="s">
        <v>2447</v>
      </c>
      <c r="M1774" s="5"/>
      <c r="N1774" s="5" t="s">
        <v>11</v>
      </c>
      <c r="O1774" s="5" t="s">
        <v>11</v>
      </c>
      <c r="P1774" s="1" t="s">
        <v>4009</v>
      </c>
      <c r="Q1774" s="1" t="s">
        <v>33</v>
      </c>
      <c r="R1774" s="2" t="s">
        <v>4337</v>
      </c>
      <c r="S1774" s="1" t="s">
        <v>6436</v>
      </c>
      <c r="T1774" s="1">
        <v>1709</v>
      </c>
      <c r="U1774" s="1">
        <v>1709</v>
      </c>
      <c r="AF1774" s="1">
        <v>1709</v>
      </c>
    </row>
    <row r="1775" spans="1:44" x14ac:dyDescent="0.2">
      <c r="A1775" s="1" t="s">
        <v>2498</v>
      </c>
      <c r="B1775" s="1">
        <v>21654844</v>
      </c>
      <c r="C1775" s="1" t="s">
        <v>7420</v>
      </c>
      <c r="E1775" s="21">
        <v>2056</v>
      </c>
      <c r="G1775" s="1" t="s">
        <v>2499</v>
      </c>
      <c r="H1775" s="1" t="s">
        <v>7402</v>
      </c>
      <c r="I1775" s="5">
        <v>40703</v>
      </c>
      <c r="J1775" s="18" t="s">
        <v>11</v>
      </c>
      <c r="K1775" s="1" t="s">
        <v>1850</v>
      </c>
      <c r="L1775" s="1" t="s">
        <v>2497</v>
      </c>
      <c r="M1775" s="5"/>
      <c r="N1775" s="5" t="s">
        <v>10</v>
      </c>
      <c r="O1775" s="5" t="s">
        <v>10</v>
      </c>
      <c r="P1775" s="1" t="s">
        <v>5072</v>
      </c>
      <c r="Q1775" s="1" t="s">
        <v>33</v>
      </c>
      <c r="R1775" s="2" t="s">
        <v>4970</v>
      </c>
      <c r="S1775" s="1" t="s">
        <v>6243</v>
      </c>
      <c r="T1775" s="1">
        <v>1470</v>
      </c>
      <c r="U1775" s="1">
        <v>1470</v>
      </c>
      <c r="V1775" s="1">
        <v>1470</v>
      </c>
    </row>
    <row r="1776" spans="1:44" x14ac:dyDescent="0.2">
      <c r="A1776" s="1" t="s">
        <v>2458</v>
      </c>
      <c r="B1776" s="1">
        <v>21658281</v>
      </c>
      <c r="C1776" s="1" t="s">
        <v>7420</v>
      </c>
      <c r="E1776" s="21">
        <v>308</v>
      </c>
      <c r="G1776" s="1" t="s">
        <v>2459</v>
      </c>
      <c r="H1776" s="1" t="s">
        <v>7192</v>
      </c>
      <c r="I1776" s="5">
        <v>40704</v>
      </c>
      <c r="J1776" s="18" t="s">
        <v>11</v>
      </c>
      <c r="K1776" s="1" t="s">
        <v>2707</v>
      </c>
      <c r="L1776" s="1" t="s">
        <v>2708</v>
      </c>
      <c r="M1776" s="5"/>
      <c r="N1776" s="5" t="s">
        <v>10</v>
      </c>
      <c r="O1776" s="5" t="s">
        <v>10</v>
      </c>
      <c r="P1776" s="1" t="s">
        <v>5611</v>
      </c>
      <c r="Q1776" s="1" t="s">
        <v>33</v>
      </c>
      <c r="R1776" s="2" t="s">
        <v>4940</v>
      </c>
      <c r="S1776" s="1" t="s">
        <v>6243</v>
      </c>
      <c r="T1776" s="1">
        <v>609</v>
      </c>
      <c r="U1776" s="1">
        <v>609</v>
      </c>
      <c r="V1776" s="1">
        <v>609</v>
      </c>
    </row>
    <row r="1777" spans="1:42" x14ac:dyDescent="0.2">
      <c r="A1777" s="1" t="s">
        <v>1088</v>
      </c>
      <c r="B1777" s="1">
        <v>21659334</v>
      </c>
      <c r="C1777" s="1" t="s">
        <v>7420</v>
      </c>
      <c r="E1777" s="21">
        <v>4</v>
      </c>
      <c r="G1777" s="1" t="s">
        <v>6938</v>
      </c>
      <c r="H1777" s="1" t="s">
        <v>1084</v>
      </c>
      <c r="I1777" s="5">
        <v>40703</v>
      </c>
      <c r="J1777" s="18" t="s">
        <v>11</v>
      </c>
      <c r="K1777" s="1" t="s">
        <v>103</v>
      </c>
      <c r="L1777" s="1" t="s">
        <v>2455</v>
      </c>
      <c r="M1777" s="5"/>
      <c r="N1777" s="5" t="s">
        <v>10</v>
      </c>
      <c r="O1777" s="5" t="s">
        <v>10</v>
      </c>
      <c r="P1777" s="1" t="s">
        <v>2456</v>
      </c>
      <c r="Q1777" s="1" t="s">
        <v>2457</v>
      </c>
      <c r="R1777" s="2" t="s">
        <v>4578</v>
      </c>
      <c r="S1777" s="1" t="s">
        <v>6242</v>
      </c>
      <c r="T1777" s="1">
        <v>694</v>
      </c>
      <c r="U1777" s="1">
        <v>303</v>
      </c>
      <c r="X1777" s="1">
        <v>303</v>
      </c>
      <c r="AH1777" s="1">
        <v>391</v>
      </c>
      <c r="AK1777" s="1">
        <v>391</v>
      </c>
    </row>
    <row r="1778" spans="1:42" x14ac:dyDescent="0.2">
      <c r="A1778" s="1" t="s">
        <v>2462</v>
      </c>
      <c r="B1778" s="1">
        <v>21659360</v>
      </c>
      <c r="C1778" s="1" t="s">
        <v>7420</v>
      </c>
      <c r="E1778" s="21">
        <v>57</v>
      </c>
      <c r="G1778" s="1" t="s">
        <v>6943</v>
      </c>
      <c r="H1778" s="1" t="s">
        <v>6933</v>
      </c>
      <c r="I1778" s="5">
        <v>40703</v>
      </c>
      <c r="J1778" s="18" t="s">
        <v>11</v>
      </c>
      <c r="K1778" s="1" t="s">
        <v>2286</v>
      </c>
      <c r="L1778" s="1" t="s">
        <v>2460</v>
      </c>
      <c r="M1778" s="5"/>
      <c r="N1778" s="5" t="s">
        <v>10</v>
      </c>
      <c r="O1778" s="5" t="s">
        <v>10</v>
      </c>
      <c r="P1778" s="1" t="s">
        <v>6171</v>
      </c>
      <c r="Q1778" s="1" t="s">
        <v>2461</v>
      </c>
      <c r="R1778" s="2" t="s">
        <v>4674</v>
      </c>
      <c r="S1778" s="1" t="s">
        <v>6243</v>
      </c>
      <c r="T1778" s="1">
        <v>736</v>
      </c>
      <c r="U1778" s="1">
        <v>356</v>
      </c>
      <c r="V1778" s="1">
        <v>356</v>
      </c>
      <c r="AH1778" s="1">
        <v>380</v>
      </c>
      <c r="AI1778" s="1">
        <v>380</v>
      </c>
    </row>
    <row r="1779" spans="1:42" x14ac:dyDescent="0.2">
      <c r="A1779" s="1" t="s">
        <v>2474</v>
      </c>
      <c r="B1779" s="1">
        <v>21665988</v>
      </c>
      <c r="C1779" s="1" t="s">
        <v>7420</v>
      </c>
      <c r="E1779" s="21">
        <v>15</v>
      </c>
      <c r="G1779" s="1" t="s">
        <v>2475</v>
      </c>
      <c r="H1779" s="1" t="s">
        <v>6688</v>
      </c>
      <c r="I1779" s="5">
        <v>40704</v>
      </c>
      <c r="J1779" s="18" t="s">
        <v>11</v>
      </c>
      <c r="K1779" s="1" t="s">
        <v>551</v>
      </c>
      <c r="L1779" s="1" t="s">
        <v>2473</v>
      </c>
      <c r="M1779" s="5"/>
      <c r="N1779" s="5" t="s">
        <v>11</v>
      </c>
      <c r="O1779" s="5" t="s">
        <v>11</v>
      </c>
      <c r="P1779" s="1" t="s">
        <v>6286</v>
      </c>
      <c r="Q1779" s="1" t="s">
        <v>6287</v>
      </c>
      <c r="R1779" s="2" t="s">
        <v>4073</v>
      </c>
      <c r="S1779" s="1" t="s">
        <v>6243</v>
      </c>
      <c r="T1779" s="1">
        <v>1136</v>
      </c>
      <c r="U1779" s="1">
        <v>744</v>
      </c>
      <c r="V1779" s="1">
        <v>744</v>
      </c>
      <c r="AH1779" s="1">
        <v>392</v>
      </c>
      <c r="AI1779" s="1">
        <v>392</v>
      </c>
    </row>
    <row r="1780" spans="1:42" x14ac:dyDescent="0.2">
      <c r="A1780" s="1" t="s">
        <v>2472</v>
      </c>
      <c r="B1780" s="1">
        <v>21665990</v>
      </c>
      <c r="C1780" s="1" t="s">
        <v>7420</v>
      </c>
      <c r="E1780" s="21">
        <v>54</v>
      </c>
      <c r="G1780" s="1" t="s">
        <v>6735</v>
      </c>
      <c r="H1780" s="1" t="s">
        <v>7143</v>
      </c>
      <c r="I1780" s="5">
        <v>40704</v>
      </c>
      <c r="J1780" s="18" t="s">
        <v>11</v>
      </c>
      <c r="K1780" s="1" t="s">
        <v>103</v>
      </c>
      <c r="L1780" s="1" t="s">
        <v>2471</v>
      </c>
      <c r="M1780" s="5"/>
      <c r="N1780" s="5" t="s">
        <v>10</v>
      </c>
      <c r="O1780" s="5" t="s">
        <v>10</v>
      </c>
      <c r="P1780" s="1" t="s">
        <v>5180</v>
      </c>
      <c r="Q1780" s="1" t="s">
        <v>6366</v>
      </c>
      <c r="R1780" s="2" t="s">
        <v>4665</v>
      </c>
      <c r="S1780" s="1" t="s">
        <v>6243</v>
      </c>
      <c r="T1780" s="1">
        <v>64542</v>
      </c>
      <c r="U1780" s="1">
        <v>6728</v>
      </c>
      <c r="V1780" s="1">
        <v>6728</v>
      </c>
      <c r="AH1780" s="1">
        <v>57814</v>
      </c>
      <c r="AI1780" s="1">
        <v>57814</v>
      </c>
    </row>
    <row r="1781" spans="1:42" x14ac:dyDescent="0.2">
      <c r="A1781" s="1" t="s">
        <v>1127</v>
      </c>
      <c r="B1781" s="1">
        <v>21665993</v>
      </c>
      <c r="C1781" s="1" t="s">
        <v>7420</v>
      </c>
      <c r="E1781" s="21">
        <v>15</v>
      </c>
      <c r="G1781" s="1" t="s">
        <v>2470</v>
      </c>
      <c r="H1781" s="1" t="s">
        <v>7248</v>
      </c>
      <c r="I1781" s="5">
        <v>40704</v>
      </c>
      <c r="J1781" s="18" t="s">
        <v>11</v>
      </c>
      <c r="K1781" s="1" t="s">
        <v>103</v>
      </c>
      <c r="L1781" s="1" t="s">
        <v>2469</v>
      </c>
      <c r="M1781" s="5"/>
      <c r="N1781" s="5" t="s">
        <v>10</v>
      </c>
      <c r="O1781" s="5" t="s">
        <v>10</v>
      </c>
      <c r="P1781" s="1" t="s">
        <v>6647</v>
      </c>
      <c r="Q1781" s="1" t="s">
        <v>4190</v>
      </c>
      <c r="R1781" s="2" t="s">
        <v>4191</v>
      </c>
      <c r="S1781" s="1" t="s">
        <v>6242</v>
      </c>
      <c r="T1781" s="1">
        <v>7360</v>
      </c>
      <c r="U1781" s="1">
        <v>4289</v>
      </c>
      <c r="X1781" s="1">
        <v>4289</v>
      </c>
      <c r="AH1781" s="1">
        <v>3071</v>
      </c>
      <c r="AK1781" s="1">
        <v>3071</v>
      </c>
    </row>
    <row r="1782" spans="1:42" x14ac:dyDescent="0.2">
      <c r="A1782" s="1" t="s">
        <v>2468</v>
      </c>
      <c r="B1782" s="1">
        <v>21665994</v>
      </c>
      <c r="C1782" s="1" t="s">
        <v>7420</v>
      </c>
      <c r="E1782" s="21">
        <v>104</v>
      </c>
      <c r="G1782" s="1" t="s">
        <v>6968</v>
      </c>
      <c r="H1782" s="1" t="s">
        <v>7211</v>
      </c>
      <c r="I1782" s="5">
        <v>40704</v>
      </c>
      <c r="J1782" s="18" t="s">
        <v>11</v>
      </c>
      <c r="K1782" s="1" t="s">
        <v>103</v>
      </c>
      <c r="L1782" s="1" t="s">
        <v>2467</v>
      </c>
      <c r="M1782" s="5"/>
      <c r="N1782" s="5" t="s">
        <v>10</v>
      </c>
      <c r="O1782" s="5" t="s">
        <v>10</v>
      </c>
      <c r="P1782" s="1" t="s">
        <v>4585</v>
      </c>
      <c r="Q1782" s="1" t="s">
        <v>6664</v>
      </c>
      <c r="R1782" s="2" t="s">
        <v>5020</v>
      </c>
      <c r="S1782" s="1" t="s">
        <v>6243</v>
      </c>
      <c r="T1782" s="1">
        <v>7465</v>
      </c>
      <c r="U1782" s="1">
        <v>5181</v>
      </c>
      <c r="V1782" s="1">
        <v>5181</v>
      </c>
      <c r="AH1782" s="1">
        <v>2284</v>
      </c>
      <c r="AI1782" s="1">
        <v>2284</v>
      </c>
    </row>
    <row r="1783" spans="1:42" x14ac:dyDescent="0.2">
      <c r="A1783" s="1" t="s">
        <v>1338</v>
      </c>
      <c r="B1783" s="1">
        <v>21666691</v>
      </c>
      <c r="C1783" s="1" t="s">
        <v>7420</v>
      </c>
      <c r="E1783" s="21">
        <v>69</v>
      </c>
      <c r="G1783" s="1" t="s">
        <v>824</v>
      </c>
      <c r="H1783" s="1" t="s">
        <v>137</v>
      </c>
      <c r="I1783" s="5">
        <v>40706</v>
      </c>
      <c r="J1783" s="18" t="s">
        <v>11</v>
      </c>
      <c r="K1783" s="1" t="s">
        <v>28</v>
      </c>
      <c r="L1783" s="1" t="s">
        <v>2466</v>
      </c>
      <c r="M1783" s="5"/>
      <c r="N1783" s="5" t="s">
        <v>10</v>
      </c>
      <c r="O1783" s="5" t="s">
        <v>10</v>
      </c>
      <c r="P1783" s="1" t="s">
        <v>3950</v>
      </c>
      <c r="Q1783" s="1" t="s">
        <v>4324</v>
      </c>
      <c r="R1783" s="2" t="s">
        <v>3951</v>
      </c>
      <c r="S1783" s="1" t="s">
        <v>6244</v>
      </c>
      <c r="T1783" s="1">
        <v>23257</v>
      </c>
      <c r="U1783" s="1">
        <v>2374</v>
      </c>
      <c r="X1783" s="1">
        <v>2374</v>
      </c>
      <c r="AH1783" s="1">
        <v>20883</v>
      </c>
      <c r="AI1783" s="1">
        <v>5062</v>
      </c>
      <c r="AK1783" s="1">
        <v>15821</v>
      </c>
    </row>
    <row r="1784" spans="1:42" x14ac:dyDescent="0.2">
      <c r="A1784" s="1" t="s">
        <v>553</v>
      </c>
      <c r="B1784" s="1">
        <v>21666692</v>
      </c>
      <c r="C1784" s="1" t="s">
        <v>7420</v>
      </c>
      <c r="E1784" s="21">
        <v>46</v>
      </c>
      <c r="G1784" s="1" t="s">
        <v>1727</v>
      </c>
      <c r="H1784" s="1" t="s">
        <v>70</v>
      </c>
      <c r="I1784" s="5">
        <v>40706</v>
      </c>
      <c r="J1784" s="18" t="s">
        <v>11</v>
      </c>
      <c r="K1784" s="1" t="s">
        <v>28</v>
      </c>
      <c r="L1784" s="1" t="s">
        <v>2465</v>
      </c>
      <c r="M1784" s="5"/>
      <c r="N1784" s="5" t="s">
        <v>10</v>
      </c>
      <c r="O1784" s="5" t="s">
        <v>10</v>
      </c>
      <c r="P1784" s="1" t="s">
        <v>5309</v>
      </c>
      <c r="Q1784" s="1" t="s">
        <v>5310</v>
      </c>
      <c r="R1784" s="2" t="s">
        <v>6051</v>
      </c>
      <c r="S1784" s="1" t="s">
        <v>6243</v>
      </c>
      <c r="T1784" s="1">
        <v>40950</v>
      </c>
      <c r="U1784" s="1">
        <v>23230</v>
      </c>
      <c r="V1784" s="1">
        <v>23230</v>
      </c>
      <c r="AH1784" s="1">
        <v>17720</v>
      </c>
      <c r="AI1784" s="1">
        <v>17720</v>
      </c>
    </row>
    <row r="1785" spans="1:42" x14ac:dyDescent="0.2">
      <c r="A1785" s="1" t="s">
        <v>2463</v>
      </c>
      <c r="B1785" s="1">
        <v>21668797</v>
      </c>
      <c r="C1785" s="1" t="s">
        <v>7420</v>
      </c>
      <c r="E1785" s="21">
        <v>30</v>
      </c>
      <c r="G1785" s="1" t="s">
        <v>2464</v>
      </c>
      <c r="H1785" s="1" t="s">
        <v>6840</v>
      </c>
      <c r="I1785" s="5">
        <v>40486</v>
      </c>
      <c r="J1785" s="18" t="s">
        <v>11</v>
      </c>
      <c r="K1785" s="1" t="s">
        <v>2709</v>
      </c>
      <c r="L1785" s="1" t="s">
        <v>2710</v>
      </c>
      <c r="M1785" s="5"/>
      <c r="N1785" s="5" t="s">
        <v>10</v>
      </c>
      <c r="O1785" s="5" t="s">
        <v>10</v>
      </c>
      <c r="P1785" s="1" t="s">
        <v>3534</v>
      </c>
      <c r="Q1785" s="1" t="s">
        <v>33</v>
      </c>
      <c r="R1785" s="2" t="s">
        <v>4801</v>
      </c>
      <c r="S1785" s="1" t="s">
        <v>6244</v>
      </c>
      <c r="T1785" s="1">
        <v>3054</v>
      </c>
      <c r="U1785" s="1">
        <v>3054</v>
      </c>
      <c r="V1785" s="1">
        <v>2019</v>
      </c>
      <c r="W1785" s="1">
        <v>1035</v>
      </c>
    </row>
    <row r="1786" spans="1:42" x14ac:dyDescent="0.2">
      <c r="A1786" s="1" t="s">
        <v>2351</v>
      </c>
      <c r="B1786" s="1">
        <v>21673997</v>
      </c>
      <c r="C1786" s="1" t="s">
        <v>7420</v>
      </c>
      <c r="E1786" s="21">
        <v>15</v>
      </c>
      <c r="G1786" s="1" t="s">
        <v>48</v>
      </c>
      <c r="H1786" s="1" t="s">
        <v>7340</v>
      </c>
      <c r="I1786" s="5">
        <v>40697</v>
      </c>
      <c r="J1786" s="18" t="s">
        <v>10</v>
      </c>
      <c r="K1786" s="1" t="s">
        <v>181</v>
      </c>
      <c r="L1786" s="1" t="s">
        <v>2963</v>
      </c>
      <c r="M1786" s="5"/>
      <c r="N1786" s="5" t="s">
        <v>10</v>
      </c>
      <c r="O1786" s="5" t="s">
        <v>10</v>
      </c>
      <c r="P1786" s="1" t="s">
        <v>6662</v>
      </c>
      <c r="Q1786" s="1" t="s">
        <v>4288</v>
      </c>
      <c r="R1786" s="2" t="s">
        <v>4776</v>
      </c>
      <c r="S1786" s="1" t="s">
        <v>6242</v>
      </c>
      <c r="T1786" s="1">
        <v>6167</v>
      </c>
      <c r="U1786" s="1">
        <v>2226</v>
      </c>
      <c r="X1786" s="1">
        <v>2226</v>
      </c>
      <c r="AH1786" s="1">
        <v>3941</v>
      </c>
      <c r="AK1786" s="1">
        <v>3941</v>
      </c>
    </row>
    <row r="1787" spans="1:42" x14ac:dyDescent="0.2">
      <c r="A1787" s="1" t="s">
        <v>2032</v>
      </c>
      <c r="B1787" s="1">
        <v>21674006</v>
      </c>
      <c r="C1787" s="1" t="s">
        <v>7420</v>
      </c>
      <c r="E1787" s="21">
        <v>1482</v>
      </c>
      <c r="G1787" s="1" t="s">
        <v>74</v>
      </c>
      <c r="H1787" s="1" t="s">
        <v>2545</v>
      </c>
      <c r="I1787" s="5">
        <v>40700</v>
      </c>
      <c r="J1787" s="18" t="s">
        <v>11</v>
      </c>
      <c r="K1787" s="1" t="s">
        <v>181</v>
      </c>
      <c r="L1787" s="1" t="s">
        <v>2476</v>
      </c>
      <c r="M1787" s="5"/>
      <c r="N1787" s="5" t="s">
        <v>10</v>
      </c>
      <c r="O1787" s="5" t="s">
        <v>10</v>
      </c>
      <c r="P1787" s="1" t="s">
        <v>3872</v>
      </c>
      <c r="Q1787" s="1" t="s">
        <v>3871</v>
      </c>
      <c r="R1787" s="2" t="s">
        <v>4732</v>
      </c>
      <c r="S1787" s="1" t="s">
        <v>6242</v>
      </c>
      <c r="T1787" s="1">
        <v>2535</v>
      </c>
      <c r="U1787" s="1">
        <v>360</v>
      </c>
      <c r="X1787" s="1">
        <v>360</v>
      </c>
      <c r="AH1787" s="1">
        <v>2175</v>
      </c>
      <c r="AK1787" s="1">
        <v>2175</v>
      </c>
    </row>
    <row r="1788" spans="1:42" x14ac:dyDescent="0.2">
      <c r="A1788" s="1" t="s">
        <v>2541</v>
      </c>
      <c r="B1788" s="1">
        <v>21676895</v>
      </c>
      <c r="C1788" s="1" t="s">
        <v>7420</v>
      </c>
      <c r="E1788" s="21">
        <v>34</v>
      </c>
      <c r="G1788" s="1" t="s">
        <v>2542</v>
      </c>
      <c r="H1788" s="1" t="s">
        <v>7202</v>
      </c>
      <c r="I1788" s="5">
        <v>40717</v>
      </c>
      <c r="J1788" s="18" t="s">
        <v>10</v>
      </c>
      <c r="K1788" s="1" t="s">
        <v>103</v>
      </c>
      <c r="L1788" s="1" t="s">
        <v>2964</v>
      </c>
      <c r="M1788" s="5"/>
      <c r="N1788" s="5" t="s">
        <v>10</v>
      </c>
      <c r="O1788" s="5" t="s">
        <v>10</v>
      </c>
      <c r="P1788" s="1" t="s">
        <v>4657</v>
      </c>
      <c r="Q1788" s="1" t="s">
        <v>3208</v>
      </c>
      <c r="R1788" s="2" t="s">
        <v>5998</v>
      </c>
      <c r="S1788" s="1" t="s">
        <v>6244</v>
      </c>
      <c r="T1788" s="1">
        <v>25507</v>
      </c>
      <c r="U1788" s="1">
        <v>20300</v>
      </c>
      <c r="V1788" s="1">
        <v>16352</v>
      </c>
      <c r="W1788" s="1">
        <v>3948</v>
      </c>
      <c r="AH1788" s="1">
        <v>5207</v>
      </c>
      <c r="AI1788" s="1">
        <v>4289</v>
      </c>
      <c r="AJ1788" s="1">
        <v>918</v>
      </c>
    </row>
    <row r="1789" spans="1:42" x14ac:dyDescent="0.2">
      <c r="A1789" s="1" t="s">
        <v>1418</v>
      </c>
      <c r="B1789" s="1">
        <v>21679298</v>
      </c>
      <c r="C1789" s="1" t="s">
        <v>7420</v>
      </c>
      <c r="E1789" s="21">
        <v>7</v>
      </c>
      <c r="G1789" s="1" t="s">
        <v>2482</v>
      </c>
      <c r="H1789" s="1" t="s">
        <v>7247</v>
      </c>
      <c r="I1789" s="5">
        <v>40710</v>
      </c>
      <c r="J1789" s="18" t="s">
        <v>11</v>
      </c>
      <c r="K1789" s="1" t="s">
        <v>302</v>
      </c>
      <c r="L1789" s="1" t="s">
        <v>2480</v>
      </c>
      <c r="M1789" s="5"/>
      <c r="N1789" s="5" t="s">
        <v>10</v>
      </c>
      <c r="O1789" s="5" t="s">
        <v>10</v>
      </c>
      <c r="P1789" s="1" t="s">
        <v>2481</v>
      </c>
      <c r="Q1789" s="1" t="s">
        <v>33</v>
      </c>
      <c r="R1789" s="2" t="s">
        <v>4509</v>
      </c>
      <c r="S1789" s="1" t="s">
        <v>6242</v>
      </c>
      <c r="T1789" s="1">
        <v>158</v>
      </c>
      <c r="U1789" s="1">
        <v>158</v>
      </c>
      <c r="X1789" s="1">
        <v>158</v>
      </c>
    </row>
    <row r="1790" spans="1:42" x14ac:dyDescent="0.2">
      <c r="A1790" s="1" t="s">
        <v>2493</v>
      </c>
      <c r="B1790" s="1">
        <v>21680558</v>
      </c>
      <c r="C1790" s="1" t="s">
        <v>7420</v>
      </c>
      <c r="D1790" s="1">
        <v>1</v>
      </c>
      <c r="E1790" s="21">
        <v>0</v>
      </c>
      <c r="F1790" s="17">
        <v>1</v>
      </c>
      <c r="G1790" s="1" t="s">
        <v>6988</v>
      </c>
      <c r="H1790" s="1" t="s">
        <v>7341</v>
      </c>
      <c r="I1790" s="5">
        <v>40710</v>
      </c>
      <c r="J1790" s="18" t="s">
        <v>10</v>
      </c>
      <c r="K1790" s="1" t="s">
        <v>103</v>
      </c>
      <c r="L1790" s="1" t="s">
        <v>2965</v>
      </c>
      <c r="M1790" s="5"/>
      <c r="N1790" s="5" t="s">
        <v>10</v>
      </c>
      <c r="O1790" s="5" t="s">
        <v>10</v>
      </c>
      <c r="P1790" s="1" t="s">
        <v>3359</v>
      </c>
      <c r="Q1790" s="1" t="s">
        <v>33</v>
      </c>
      <c r="R1790" s="2" t="s">
        <v>5848</v>
      </c>
      <c r="S1790" s="1" t="s">
        <v>6248</v>
      </c>
      <c r="T1790" s="1">
        <v>17</v>
      </c>
      <c r="U1790" s="1">
        <v>17</v>
      </c>
      <c r="AE1790" s="1">
        <v>17</v>
      </c>
    </row>
    <row r="1791" spans="1:42" x14ac:dyDescent="0.2">
      <c r="A1791" s="1" t="s">
        <v>2478</v>
      </c>
      <c r="B1791" s="1">
        <v>21681796</v>
      </c>
      <c r="C1791" s="1" t="s">
        <v>7420</v>
      </c>
      <c r="E1791" s="21">
        <v>417</v>
      </c>
      <c r="G1791" s="1" t="s">
        <v>2479</v>
      </c>
      <c r="H1791" s="1" t="s">
        <v>7237</v>
      </c>
      <c r="I1791" s="5">
        <v>40710</v>
      </c>
      <c r="J1791" s="18" t="s">
        <v>11</v>
      </c>
      <c r="K1791" s="1" t="s">
        <v>549</v>
      </c>
      <c r="L1791" s="1" t="s">
        <v>2477</v>
      </c>
      <c r="M1791" s="5"/>
      <c r="N1791" s="5" t="s">
        <v>10</v>
      </c>
      <c r="O1791" s="5" t="s">
        <v>10</v>
      </c>
      <c r="P1791" s="1" t="s">
        <v>5579</v>
      </c>
      <c r="Q1791" s="1" t="s">
        <v>5580</v>
      </c>
      <c r="R1791" s="2" t="s">
        <v>4397</v>
      </c>
      <c r="S1791" s="1" t="s">
        <v>6243</v>
      </c>
      <c r="T1791" s="1">
        <v>12385</v>
      </c>
      <c r="U1791" s="1">
        <v>9361</v>
      </c>
      <c r="V1791" s="1">
        <v>9361</v>
      </c>
      <c r="AH1791" s="1">
        <v>3024</v>
      </c>
      <c r="AI1791" s="1">
        <v>3024</v>
      </c>
    </row>
    <row r="1792" spans="1:42" x14ac:dyDescent="0.2">
      <c r="A1792" s="1" t="s">
        <v>2489</v>
      </c>
      <c r="B1792" s="1">
        <v>21682944</v>
      </c>
      <c r="C1792" s="1" t="s">
        <v>7420</v>
      </c>
      <c r="E1792" s="21">
        <v>47</v>
      </c>
      <c r="G1792" s="1" t="s">
        <v>74</v>
      </c>
      <c r="H1792" s="1" t="s">
        <v>2545</v>
      </c>
      <c r="I1792" s="5">
        <v>40714</v>
      </c>
      <c r="J1792" s="18" t="s">
        <v>11</v>
      </c>
      <c r="K1792" s="1" t="s">
        <v>2487</v>
      </c>
      <c r="L1792" s="1" t="s">
        <v>2488</v>
      </c>
      <c r="M1792" s="5"/>
      <c r="N1792" s="5" t="s">
        <v>10</v>
      </c>
      <c r="O1792" s="5" t="s">
        <v>10</v>
      </c>
      <c r="P1792" s="1" t="s">
        <v>3895</v>
      </c>
      <c r="Q1792" s="1" t="s">
        <v>3879</v>
      </c>
      <c r="R1792" s="2" t="s">
        <v>4059</v>
      </c>
      <c r="S1792" s="1" t="s">
        <v>6244</v>
      </c>
      <c r="T1792" s="1">
        <v>520</v>
      </c>
      <c r="U1792" s="1">
        <v>331</v>
      </c>
      <c r="V1792" s="1">
        <v>331</v>
      </c>
      <c r="AH1792" s="1">
        <v>189</v>
      </c>
      <c r="AP1792" s="1">
        <v>189</v>
      </c>
    </row>
    <row r="1793" spans="1:44" x14ac:dyDescent="0.2">
      <c r="A1793" s="1" t="s">
        <v>2486</v>
      </c>
      <c r="B1793" s="1">
        <v>21685187</v>
      </c>
      <c r="C1793" s="1" t="s">
        <v>7420</v>
      </c>
      <c r="E1793" s="21">
        <v>53</v>
      </c>
      <c r="G1793" s="2" t="s">
        <v>7114</v>
      </c>
      <c r="H1793" s="1" t="s">
        <v>7154</v>
      </c>
      <c r="I1793" s="5">
        <v>40710</v>
      </c>
      <c r="J1793" s="18" t="s">
        <v>11</v>
      </c>
      <c r="K1793" s="1" t="s">
        <v>2483</v>
      </c>
      <c r="L1793" s="1" t="s">
        <v>2484</v>
      </c>
      <c r="M1793" s="5"/>
      <c r="N1793" s="5" t="s">
        <v>10</v>
      </c>
      <c r="O1793" s="5" t="s">
        <v>10</v>
      </c>
      <c r="P1793" s="1" t="s">
        <v>6225</v>
      </c>
      <c r="Q1793" s="1" t="s">
        <v>33</v>
      </c>
      <c r="R1793" s="2" t="s">
        <v>2485</v>
      </c>
      <c r="S1793" s="1" t="s">
        <v>6243</v>
      </c>
      <c r="T1793" s="1">
        <v>3441</v>
      </c>
      <c r="U1793" s="1">
        <v>3441</v>
      </c>
      <c r="V1793" s="1">
        <v>3441</v>
      </c>
    </row>
    <row r="1794" spans="1:44" x14ac:dyDescent="0.2">
      <c r="A1794" s="1" t="s">
        <v>2492</v>
      </c>
      <c r="B1794" s="1">
        <v>21685912</v>
      </c>
      <c r="C1794" s="1" t="s">
        <v>7420</v>
      </c>
      <c r="E1794" s="21">
        <v>25</v>
      </c>
      <c r="G1794" s="1" t="s">
        <v>2574</v>
      </c>
      <c r="H1794" s="1" t="s">
        <v>7077</v>
      </c>
      <c r="I1794" s="5">
        <v>40713</v>
      </c>
      <c r="J1794" s="18" t="s">
        <v>11</v>
      </c>
      <c r="K1794" s="1" t="s">
        <v>28</v>
      </c>
      <c r="L1794" s="1" t="s">
        <v>2491</v>
      </c>
      <c r="M1794" s="5"/>
      <c r="N1794" s="5" t="s">
        <v>10</v>
      </c>
      <c r="O1794" s="5" t="s">
        <v>10</v>
      </c>
      <c r="P1794" s="1" t="s">
        <v>3724</v>
      </c>
      <c r="Q1794" s="1" t="s">
        <v>5041</v>
      </c>
      <c r="R1794" s="2" t="s">
        <v>3898</v>
      </c>
      <c r="S1794" s="1" t="s">
        <v>6243</v>
      </c>
      <c r="T1794" s="1">
        <v>9012</v>
      </c>
      <c r="U1794" s="1">
        <v>4401</v>
      </c>
      <c r="V1794" s="1">
        <v>4401</v>
      </c>
      <c r="AH1794" s="1">
        <v>4611</v>
      </c>
      <c r="AI1794" s="1">
        <v>4611</v>
      </c>
    </row>
    <row r="1795" spans="1:44" x14ac:dyDescent="0.2">
      <c r="A1795" s="1" t="s">
        <v>1543</v>
      </c>
      <c r="B1795" s="1">
        <v>21688384</v>
      </c>
      <c r="C1795" s="1" t="s">
        <v>7420</v>
      </c>
      <c r="E1795" s="21">
        <v>152</v>
      </c>
      <c r="G1795" s="1" t="s">
        <v>2490</v>
      </c>
      <c r="H1795" s="1" t="s">
        <v>2545</v>
      </c>
      <c r="I1795" s="5">
        <v>40711</v>
      </c>
      <c r="J1795" s="18" t="s">
        <v>10</v>
      </c>
      <c r="K1795" s="1" t="s">
        <v>43</v>
      </c>
      <c r="L1795" s="1" t="s">
        <v>2966</v>
      </c>
      <c r="M1795" s="5"/>
      <c r="N1795" s="5" t="s">
        <v>10</v>
      </c>
      <c r="O1795" s="5" t="s">
        <v>10</v>
      </c>
      <c r="P1795" s="1" t="s">
        <v>3972</v>
      </c>
      <c r="Q1795" s="1" t="s">
        <v>6367</v>
      </c>
      <c r="R1795" s="2" t="s">
        <v>4171</v>
      </c>
      <c r="S1795" s="1" t="s">
        <v>6243</v>
      </c>
      <c r="T1795" s="1">
        <v>3608</v>
      </c>
      <c r="U1795" s="1">
        <v>2540</v>
      </c>
      <c r="V1795" s="1">
        <v>2540</v>
      </c>
      <c r="AH1795" s="1">
        <v>1068</v>
      </c>
      <c r="AI1795" s="1">
        <v>1068</v>
      </c>
    </row>
    <row r="1796" spans="1:44" x14ac:dyDescent="0.2">
      <c r="A1796" s="1" t="s">
        <v>1799</v>
      </c>
      <c r="B1796" s="1">
        <v>21691150</v>
      </c>
      <c r="C1796" s="1" t="s">
        <v>7420</v>
      </c>
      <c r="E1796" s="21">
        <v>299</v>
      </c>
      <c r="F1796" s="17">
        <v>1</v>
      </c>
      <c r="G1796" s="1" t="s">
        <v>7008</v>
      </c>
      <c r="H1796" s="1" t="s">
        <v>7369</v>
      </c>
      <c r="I1796" s="5">
        <v>40725</v>
      </c>
      <c r="J1796" s="18" t="s">
        <v>10</v>
      </c>
      <c r="K1796" s="1" t="s">
        <v>2967</v>
      </c>
      <c r="L1796" s="1" t="s">
        <v>2968</v>
      </c>
      <c r="N1796" s="5" t="s">
        <v>10</v>
      </c>
      <c r="O1796" s="5" t="s">
        <v>10</v>
      </c>
      <c r="P1796" s="11" t="s">
        <v>3376</v>
      </c>
      <c r="Q1796" s="11" t="s">
        <v>3377</v>
      </c>
      <c r="R1796" s="2" t="s">
        <v>5984</v>
      </c>
      <c r="S1796" s="1" t="s">
        <v>6244</v>
      </c>
      <c r="T1796" s="1">
        <v>223</v>
      </c>
      <c r="U1796" s="1">
        <v>107</v>
      </c>
      <c r="V1796" s="1">
        <v>53</v>
      </c>
      <c r="W1796" s="1">
        <v>54</v>
      </c>
      <c r="AH1796" s="1">
        <v>116</v>
      </c>
      <c r="AI1796" s="1">
        <v>58</v>
      </c>
      <c r="AJ1796" s="1">
        <v>58</v>
      </c>
    </row>
    <row r="1797" spans="1:44" x14ac:dyDescent="0.2">
      <c r="A1797" s="1" t="s">
        <v>2508</v>
      </c>
      <c r="B1797" s="1">
        <v>21694509</v>
      </c>
      <c r="C1797" s="1" t="s">
        <v>7420</v>
      </c>
      <c r="E1797" s="21">
        <v>645</v>
      </c>
      <c r="G1797" s="1" t="s">
        <v>2509</v>
      </c>
      <c r="H1797" s="1" t="s">
        <v>7141</v>
      </c>
      <c r="I1797" s="5">
        <v>40725</v>
      </c>
      <c r="J1797" s="18" t="s">
        <v>11</v>
      </c>
      <c r="K1797" s="1" t="s">
        <v>2506</v>
      </c>
      <c r="L1797" s="1" t="s">
        <v>2507</v>
      </c>
      <c r="M1797" s="5"/>
      <c r="N1797" s="5" t="s">
        <v>10</v>
      </c>
      <c r="O1797" s="5" t="s">
        <v>10</v>
      </c>
      <c r="P1797" s="1" t="s">
        <v>6127</v>
      </c>
      <c r="Q1797" s="1" t="s">
        <v>6128</v>
      </c>
      <c r="R1797" s="2" t="s">
        <v>6448</v>
      </c>
      <c r="S1797" s="1" t="s">
        <v>6243</v>
      </c>
      <c r="T1797" s="1">
        <v>459</v>
      </c>
      <c r="U1797" s="1">
        <v>251</v>
      </c>
      <c r="V1797" s="1">
        <v>251</v>
      </c>
      <c r="AH1797" s="1">
        <v>208</v>
      </c>
      <c r="AI1797" s="1">
        <v>208</v>
      </c>
    </row>
    <row r="1798" spans="1:44" x14ac:dyDescent="0.2">
      <c r="A1798" s="1" t="s">
        <v>2495</v>
      </c>
      <c r="B1798" s="1">
        <v>21694764</v>
      </c>
      <c r="C1798" s="1" t="s">
        <v>7420</v>
      </c>
      <c r="E1798" s="21">
        <v>33</v>
      </c>
      <c r="G1798" s="1" t="s">
        <v>2496</v>
      </c>
      <c r="H1798" s="1" t="s">
        <v>2546</v>
      </c>
      <c r="I1798" s="5">
        <v>40703</v>
      </c>
      <c r="J1798" s="18" t="s">
        <v>11</v>
      </c>
      <c r="K1798" s="1" t="s">
        <v>181</v>
      </c>
      <c r="L1798" s="1" t="s">
        <v>2494</v>
      </c>
      <c r="M1798" s="5"/>
      <c r="N1798" s="5" t="s">
        <v>10</v>
      </c>
      <c r="O1798" s="5" t="s">
        <v>10</v>
      </c>
      <c r="P1798" s="1" t="s">
        <v>3467</v>
      </c>
      <c r="Q1798" s="1" t="s">
        <v>3468</v>
      </c>
      <c r="R1798" s="2" t="s">
        <v>4320</v>
      </c>
      <c r="S1798" s="1" t="s">
        <v>6243</v>
      </c>
      <c r="T1798" s="1">
        <v>10506</v>
      </c>
      <c r="U1798" s="1">
        <v>9538</v>
      </c>
      <c r="V1798" s="1">
        <v>9538</v>
      </c>
      <c r="AH1798" s="1">
        <v>968</v>
      </c>
      <c r="AI1798" s="1">
        <v>968</v>
      </c>
    </row>
    <row r="1799" spans="1:44" x14ac:dyDescent="0.2">
      <c r="A1799" s="1" t="s">
        <v>2514</v>
      </c>
      <c r="B1799" s="1">
        <v>21696813</v>
      </c>
      <c r="C1799" s="1" t="s">
        <v>7420</v>
      </c>
      <c r="E1799" s="21">
        <v>25</v>
      </c>
      <c r="G1799" s="1" t="s">
        <v>2515</v>
      </c>
      <c r="H1799" s="1" t="s">
        <v>7053</v>
      </c>
      <c r="I1799" s="5">
        <v>40714</v>
      </c>
      <c r="J1799" s="18" t="s">
        <v>11</v>
      </c>
      <c r="K1799" s="1" t="s">
        <v>1169</v>
      </c>
      <c r="L1799" s="1" t="s">
        <v>2513</v>
      </c>
      <c r="M1799" s="5"/>
      <c r="N1799" s="5" t="s">
        <v>10</v>
      </c>
      <c r="O1799" s="5" t="s">
        <v>10</v>
      </c>
      <c r="P1799" s="1" t="s">
        <v>5113</v>
      </c>
      <c r="Q1799" s="1" t="s">
        <v>6134</v>
      </c>
      <c r="R1799" s="2" t="s">
        <v>4816</v>
      </c>
      <c r="S1799" s="1" t="s">
        <v>6244</v>
      </c>
      <c r="T1799" s="1">
        <v>13507</v>
      </c>
      <c r="U1799" s="1">
        <v>277</v>
      </c>
      <c r="V1799" s="1">
        <v>277</v>
      </c>
      <c r="AH1799" s="1">
        <v>13230</v>
      </c>
      <c r="AI1799" s="1">
        <v>9243</v>
      </c>
      <c r="AJ1799" s="1">
        <v>156</v>
      </c>
      <c r="AM1799" s="1">
        <v>3693</v>
      </c>
      <c r="AR1799" s="1">
        <v>138</v>
      </c>
    </row>
    <row r="1800" spans="1:44" x14ac:dyDescent="0.2">
      <c r="A1800" s="1" t="s">
        <v>2512</v>
      </c>
      <c r="B1800" s="1">
        <v>21698098</v>
      </c>
      <c r="C1800" s="1" t="s">
        <v>7420</v>
      </c>
      <c r="E1800" s="21">
        <v>75</v>
      </c>
      <c r="G1800" s="1" t="s">
        <v>348</v>
      </c>
      <c r="H1800" s="1" t="s">
        <v>7311</v>
      </c>
      <c r="I1800" s="5">
        <v>40711</v>
      </c>
      <c r="J1800" s="18" t="s">
        <v>10</v>
      </c>
      <c r="K1800" s="1" t="s">
        <v>181</v>
      </c>
      <c r="L1800" s="1" t="s">
        <v>2969</v>
      </c>
      <c r="M1800" s="5"/>
      <c r="N1800" s="5" t="s">
        <v>11</v>
      </c>
      <c r="O1800" s="5" t="s">
        <v>10</v>
      </c>
      <c r="P1800" s="1" t="s">
        <v>5258</v>
      </c>
      <c r="Q1800" s="1" t="s">
        <v>33</v>
      </c>
      <c r="R1800" s="2" t="s">
        <v>5876</v>
      </c>
      <c r="S1800" s="1" t="s">
        <v>6244</v>
      </c>
      <c r="T1800" s="1">
        <v>6342</v>
      </c>
      <c r="U1800" s="1">
        <v>6342</v>
      </c>
      <c r="V1800" s="1">
        <v>4508</v>
      </c>
      <c r="AD1800" s="1">
        <v>1834</v>
      </c>
    </row>
    <row r="1801" spans="1:44" x14ac:dyDescent="0.2">
      <c r="A1801" s="1" t="s">
        <v>1326</v>
      </c>
      <c r="B1801" s="1">
        <v>21699788</v>
      </c>
      <c r="C1801" s="1" t="s">
        <v>7420</v>
      </c>
      <c r="E1801" s="21">
        <v>5</v>
      </c>
      <c r="G1801" s="1" t="s">
        <v>2521</v>
      </c>
      <c r="H1801" s="1" t="s">
        <v>2547</v>
      </c>
      <c r="I1801" s="5">
        <v>40714</v>
      </c>
      <c r="J1801" s="18" t="s">
        <v>11</v>
      </c>
      <c r="K1801" s="1" t="s">
        <v>477</v>
      </c>
      <c r="L1801" s="1" t="s">
        <v>2518</v>
      </c>
      <c r="M1801" s="5"/>
      <c r="N1801" s="5" t="s">
        <v>10</v>
      </c>
      <c r="O1801" s="5" t="s">
        <v>10</v>
      </c>
      <c r="P1801" s="1" t="s">
        <v>2519</v>
      </c>
      <c r="Q1801" s="1" t="s">
        <v>2520</v>
      </c>
      <c r="R1801" s="2" t="s">
        <v>4067</v>
      </c>
      <c r="S1801" s="1" t="s">
        <v>6242</v>
      </c>
      <c r="T1801" s="1">
        <v>2632</v>
      </c>
      <c r="U1801" s="1">
        <v>1649</v>
      </c>
      <c r="X1801" s="1">
        <v>1649</v>
      </c>
      <c r="AH1801" s="1">
        <v>983</v>
      </c>
      <c r="AK1801" s="1">
        <v>983</v>
      </c>
    </row>
    <row r="1802" spans="1:44" x14ac:dyDescent="0.2">
      <c r="A1802" s="1" t="s">
        <v>1824</v>
      </c>
      <c r="B1802" s="1">
        <v>21700265</v>
      </c>
      <c r="C1802" s="1" t="s">
        <v>7420</v>
      </c>
      <c r="E1802" s="21">
        <v>13</v>
      </c>
      <c r="G1802" s="1" t="s">
        <v>6632</v>
      </c>
      <c r="H1802" s="1" t="s">
        <v>7202</v>
      </c>
      <c r="I1802" s="5">
        <v>40716</v>
      </c>
      <c r="J1802" s="18" t="s">
        <v>11</v>
      </c>
      <c r="K1802" s="1" t="s">
        <v>16</v>
      </c>
      <c r="L1802" s="1" t="s">
        <v>2529</v>
      </c>
      <c r="M1802" s="5"/>
      <c r="N1802" s="5" t="s">
        <v>10</v>
      </c>
      <c r="O1802" s="5" t="s">
        <v>10</v>
      </c>
      <c r="P1802" s="1" t="s">
        <v>5107</v>
      </c>
      <c r="Q1802" s="1" t="s">
        <v>5108</v>
      </c>
      <c r="R1802" s="2" t="s">
        <v>4650</v>
      </c>
      <c r="S1802" s="1" t="s">
        <v>6243</v>
      </c>
      <c r="T1802" s="1">
        <v>7607</v>
      </c>
      <c r="U1802" s="1">
        <v>1979</v>
      </c>
      <c r="V1802" s="1">
        <v>1979</v>
      </c>
      <c r="AH1802" s="1">
        <v>5628</v>
      </c>
      <c r="AI1802" s="1">
        <v>5628</v>
      </c>
    </row>
    <row r="1803" spans="1:44" x14ac:dyDescent="0.2">
      <c r="A1803" s="1" t="s">
        <v>2304</v>
      </c>
      <c r="B1803" s="1">
        <v>21700618</v>
      </c>
      <c r="C1803" s="1" t="s">
        <v>7420</v>
      </c>
      <c r="E1803" s="21">
        <v>14</v>
      </c>
      <c r="G1803" s="1" t="s">
        <v>6953</v>
      </c>
      <c r="H1803" s="1" t="s">
        <v>2562</v>
      </c>
      <c r="I1803" s="5">
        <v>40717</v>
      </c>
      <c r="J1803" s="18" t="s">
        <v>11</v>
      </c>
      <c r="K1803" s="1" t="s">
        <v>103</v>
      </c>
      <c r="L1803" s="1" t="s">
        <v>2501</v>
      </c>
      <c r="M1803" s="5"/>
      <c r="N1803" s="5" t="s">
        <v>10</v>
      </c>
      <c r="O1803" s="5" t="s">
        <v>10</v>
      </c>
      <c r="P1803" s="1" t="s">
        <v>5158</v>
      </c>
      <c r="Q1803" s="1" t="s">
        <v>5159</v>
      </c>
      <c r="R1803" s="2" t="s">
        <v>4821</v>
      </c>
      <c r="S1803" s="1" t="s">
        <v>6243</v>
      </c>
      <c r="T1803" s="1">
        <v>14329</v>
      </c>
      <c r="U1803" s="1">
        <v>8058</v>
      </c>
      <c r="V1803" s="1">
        <v>8058</v>
      </c>
      <c r="AH1803" s="1">
        <v>6271</v>
      </c>
      <c r="AI1803" s="1">
        <v>6271</v>
      </c>
    </row>
    <row r="1804" spans="1:44" x14ac:dyDescent="0.2">
      <c r="A1804" s="1" t="s">
        <v>1335</v>
      </c>
      <c r="B1804" s="1">
        <v>21700879</v>
      </c>
      <c r="C1804" s="1" t="s">
        <v>7420</v>
      </c>
      <c r="E1804" s="21">
        <v>12</v>
      </c>
      <c r="G1804" s="1" t="s">
        <v>6768</v>
      </c>
      <c r="H1804" s="1" t="s">
        <v>7203</v>
      </c>
      <c r="I1804" s="5">
        <v>40717</v>
      </c>
      <c r="J1804" s="18" t="s">
        <v>11</v>
      </c>
      <c r="K1804" s="1" t="s">
        <v>90</v>
      </c>
      <c r="L1804" s="1" t="s">
        <v>2510</v>
      </c>
      <c r="M1804" s="5"/>
      <c r="N1804" s="5" t="s">
        <v>10</v>
      </c>
      <c r="O1804" s="5" t="s">
        <v>10</v>
      </c>
      <c r="P1804" s="1" t="s">
        <v>6639</v>
      </c>
      <c r="Q1804" s="1" t="s">
        <v>5078</v>
      </c>
      <c r="R1804" s="2" t="s">
        <v>4331</v>
      </c>
      <c r="S1804" s="1" t="s">
        <v>6243</v>
      </c>
      <c r="T1804" s="1">
        <v>2217</v>
      </c>
      <c r="U1804" s="1">
        <v>1591</v>
      </c>
      <c r="V1804" s="1">
        <v>1591</v>
      </c>
      <c r="AH1804" s="1">
        <v>626</v>
      </c>
      <c r="AI1804" s="1">
        <v>626</v>
      </c>
    </row>
    <row r="1805" spans="1:44" x14ac:dyDescent="0.2">
      <c r="A1805" s="1" t="s">
        <v>2505</v>
      </c>
      <c r="B1805" s="1">
        <v>21701565</v>
      </c>
      <c r="C1805" s="1" t="s">
        <v>7420</v>
      </c>
      <c r="E1805" s="21">
        <v>1992</v>
      </c>
      <c r="G1805" s="1" t="s">
        <v>370</v>
      </c>
      <c r="H1805" s="1" t="s">
        <v>7229</v>
      </c>
      <c r="I1805" s="5">
        <v>40717</v>
      </c>
      <c r="J1805" s="18" t="s">
        <v>11</v>
      </c>
      <c r="K1805" s="1" t="s">
        <v>686</v>
      </c>
      <c r="L1805" s="1" t="s">
        <v>2504</v>
      </c>
      <c r="M1805" s="5"/>
      <c r="N1805" s="5" t="s">
        <v>10</v>
      </c>
      <c r="O1805" s="5" t="s">
        <v>10</v>
      </c>
      <c r="P1805" s="1" t="s">
        <v>3968</v>
      </c>
      <c r="Q1805" s="1" t="s">
        <v>4170</v>
      </c>
      <c r="R1805" s="2" t="s">
        <v>4420</v>
      </c>
      <c r="S1805" s="1" t="s">
        <v>6246</v>
      </c>
      <c r="T1805" s="1">
        <v>3253</v>
      </c>
      <c r="U1805" s="1">
        <v>1120</v>
      </c>
      <c r="AA1805" s="1">
        <v>1120</v>
      </c>
      <c r="AH1805" s="1">
        <v>2133</v>
      </c>
      <c r="AN1805" s="1">
        <v>2133</v>
      </c>
    </row>
    <row r="1806" spans="1:44" x14ac:dyDescent="0.2">
      <c r="A1806" s="1" t="s">
        <v>2503</v>
      </c>
      <c r="B1806" s="1">
        <v>21701570</v>
      </c>
      <c r="C1806" s="1" t="s">
        <v>7420</v>
      </c>
      <c r="E1806" s="21">
        <v>162</v>
      </c>
      <c r="G1806" s="1" t="s">
        <v>370</v>
      </c>
      <c r="H1806" s="1" t="s">
        <v>7229</v>
      </c>
      <c r="I1806" s="5">
        <v>40717</v>
      </c>
      <c r="J1806" s="18" t="s">
        <v>11</v>
      </c>
      <c r="K1806" s="1" t="s">
        <v>686</v>
      </c>
      <c r="L1806" s="1" t="s">
        <v>2502</v>
      </c>
      <c r="M1806" s="5"/>
      <c r="N1806" s="5" t="s">
        <v>10</v>
      </c>
      <c r="O1806" s="5" t="s">
        <v>10</v>
      </c>
      <c r="P1806" s="1" t="s">
        <v>4012</v>
      </c>
      <c r="Q1806" s="1" t="s">
        <v>4339</v>
      </c>
      <c r="R1806" s="2" t="s">
        <v>4646</v>
      </c>
      <c r="S1806" s="1" t="s">
        <v>6440</v>
      </c>
      <c r="T1806" s="1">
        <v>4989</v>
      </c>
      <c r="U1806" s="1">
        <v>1715</v>
      </c>
      <c r="W1806" s="1">
        <v>1715</v>
      </c>
      <c r="AH1806" s="1">
        <v>3274</v>
      </c>
      <c r="AJ1806" s="1">
        <v>3274</v>
      </c>
    </row>
    <row r="1807" spans="1:44" x14ac:dyDescent="0.2">
      <c r="A1807" s="1" t="s">
        <v>809</v>
      </c>
      <c r="B1807" s="1">
        <v>21703177</v>
      </c>
      <c r="C1807" s="1" t="s">
        <v>7420</v>
      </c>
      <c r="E1807" s="21">
        <v>17</v>
      </c>
      <c r="G1807" s="1" t="s">
        <v>2528</v>
      </c>
      <c r="H1807" s="1" t="s">
        <v>6614</v>
      </c>
      <c r="I1807" s="5">
        <v>40683</v>
      </c>
      <c r="J1807" s="18" t="s">
        <v>11</v>
      </c>
      <c r="K1807" s="1" t="s">
        <v>2712</v>
      </c>
      <c r="L1807" s="1" t="s">
        <v>2713</v>
      </c>
      <c r="M1807" s="5"/>
      <c r="N1807" s="5" t="s">
        <v>10</v>
      </c>
      <c r="O1807" s="5" t="s">
        <v>10</v>
      </c>
      <c r="P1807" s="1" t="s">
        <v>2711</v>
      </c>
      <c r="Q1807" s="1" t="s">
        <v>33</v>
      </c>
      <c r="R1807" s="2" t="s">
        <v>4604</v>
      </c>
      <c r="S1807" s="1" t="s">
        <v>6244</v>
      </c>
      <c r="T1807" s="1">
        <v>1284</v>
      </c>
      <c r="U1807" s="1">
        <v>1284</v>
      </c>
      <c r="V1807" s="1">
        <v>984</v>
      </c>
      <c r="W1807" s="1">
        <v>201</v>
      </c>
      <c r="Z1807" s="1">
        <v>99</v>
      </c>
    </row>
    <row r="1808" spans="1:44" x14ac:dyDescent="0.2">
      <c r="A1808" s="1" t="s">
        <v>1543</v>
      </c>
      <c r="B1808" s="1">
        <v>21703634</v>
      </c>
      <c r="C1808" s="1" t="s">
        <v>7420</v>
      </c>
      <c r="E1808" s="21">
        <v>142</v>
      </c>
      <c r="G1808" s="1" t="s">
        <v>968</v>
      </c>
      <c r="H1808" s="1" t="s">
        <v>7207</v>
      </c>
      <c r="I1808" s="5">
        <v>40716</v>
      </c>
      <c r="J1808" s="18" t="s">
        <v>11</v>
      </c>
      <c r="K1808" s="1" t="s">
        <v>1339</v>
      </c>
      <c r="L1808" s="1" t="s">
        <v>2517</v>
      </c>
      <c r="M1808" s="5"/>
      <c r="N1808" s="5" t="s">
        <v>10</v>
      </c>
      <c r="O1808" s="5" t="s">
        <v>10</v>
      </c>
      <c r="P1808" s="1" t="s">
        <v>6167</v>
      </c>
      <c r="Q1808" s="1" t="s">
        <v>4328</v>
      </c>
      <c r="R1808" s="2" t="s">
        <v>4810</v>
      </c>
      <c r="S1808" s="1" t="s">
        <v>6243</v>
      </c>
      <c r="T1808" s="1">
        <v>6033</v>
      </c>
      <c r="U1808" s="1">
        <v>2699</v>
      </c>
      <c r="V1808" s="1">
        <v>2699</v>
      </c>
      <c r="AH1808" s="1">
        <v>3334</v>
      </c>
      <c r="AI1808" s="1">
        <v>3334</v>
      </c>
    </row>
    <row r="1809" spans="1:39" x14ac:dyDescent="0.2">
      <c r="A1809" s="1" t="s">
        <v>1799</v>
      </c>
      <c r="B1809" s="1">
        <v>21705454</v>
      </c>
      <c r="C1809" s="1" t="s">
        <v>7420</v>
      </c>
      <c r="E1809" s="21">
        <v>403</v>
      </c>
      <c r="F1809" s="17">
        <v>1</v>
      </c>
      <c r="G1809" s="1" t="s">
        <v>6781</v>
      </c>
      <c r="H1809" s="1" t="s">
        <v>7342</v>
      </c>
      <c r="I1809" s="5">
        <v>40718</v>
      </c>
      <c r="J1809" s="18" t="s">
        <v>10</v>
      </c>
      <c r="K1809" s="1" t="s">
        <v>2053</v>
      </c>
      <c r="L1809" s="1" t="s">
        <v>2970</v>
      </c>
      <c r="M1809" s="5"/>
      <c r="N1809" s="5" t="s">
        <v>10</v>
      </c>
      <c r="O1809" s="5" t="s">
        <v>10</v>
      </c>
      <c r="P1809" s="1" t="s">
        <v>5325</v>
      </c>
      <c r="Q1809" s="1" t="s">
        <v>5326</v>
      </c>
      <c r="R1809" s="2" t="s">
        <v>3026</v>
      </c>
      <c r="S1809" s="1" t="s">
        <v>6243</v>
      </c>
      <c r="T1809" s="1">
        <v>1807</v>
      </c>
      <c r="U1809" s="1">
        <v>52</v>
      </c>
      <c r="V1809" s="1">
        <v>52</v>
      </c>
      <c r="AH1809" s="1">
        <v>1755</v>
      </c>
      <c r="AI1809" s="1">
        <v>1755</v>
      </c>
    </row>
    <row r="1810" spans="1:39" x14ac:dyDescent="0.2">
      <c r="A1810" s="1" t="s">
        <v>2526</v>
      </c>
      <c r="B1810" s="1">
        <v>21706003</v>
      </c>
      <c r="C1810" s="1" t="s">
        <v>7420</v>
      </c>
      <c r="E1810" s="21">
        <v>145</v>
      </c>
      <c r="G1810" s="1" t="s">
        <v>2527</v>
      </c>
      <c r="H1810" s="1" t="s">
        <v>7228</v>
      </c>
      <c r="I1810" s="5">
        <v>40720</v>
      </c>
      <c r="J1810" s="18" t="s">
        <v>11</v>
      </c>
      <c r="K1810" s="1" t="s">
        <v>28</v>
      </c>
      <c r="L1810" s="1" t="s">
        <v>2525</v>
      </c>
      <c r="M1810" s="5"/>
      <c r="N1810" s="5" t="s">
        <v>10</v>
      </c>
      <c r="O1810" s="5" t="s">
        <v>10</v>
      </c>
      <c r="P1810" s="1" t="s">
        <v>5535</v>
      </c>
      <c r="Q1810" s="1" t="s">
        <v>5536</v>
      </c>
      <c r="R1810" s="2" t="s">
        <v>2341</v>
      </c>
      <c r="S1810" s="1" t="s">
        <v>6244</v>
      </c>
      <c r="T1810" s="1">
        <v>76202</v>
      </c>
      <c r="U1810" s="1">
        <v>36626</v>
      </c>
      <c r="V1810" s="1">
        <v>29069</v>
      </c>
      <c r="Y1810" s="1">
        <v>7557</v>
      </c>
      <c r="AH1810" s="1">
        <v>39576</v>
      </c>
      <c r="AI1810" s="1">
        <v>39576</v>
      </c>
    </row>
    <row r="1811" spans="1:39" x14ac:dyDescent="0.2">
      <c r="A1811" s="1" t="s">
        <v>2516</v>
      </c>
      <c r="B1811" s="1">
        <v>21706340</v>
      </c>
      <c r="C1811" s="1" t="s">
        <v>7420</v>
      </c>
      <c r="E1811" s="21">
        <v>8</v>
      </c>
      <c r="G1811" s="1" t="s">
        <v>6866</v>
      </c>
      <c r="H1811" s="1" t="s">
        <v>2562</v>
      </c>
      <c r="I1811" s="5">
        <v>40720</v>
      </c>
      <c r="J1811" s="18" t="s">
        <v>11</v>
      </c>
      <c r="K1811" s="1" t="s">
        <v>595</v>
      </c>
      <c r="L1811" s="1" t="s">
        <v>2714</v>
      </c>
      <c r="M1811" s="5"/>
      <c r="N1811" s="5" t="s">
        <v>10</v>
      </c>
      <c r="O1811" s="5" t="s">
        <v>10</v>
      </c>
      <c r="P1811" s="1" t="s">
        <v>5131</v>
      </c>
      <c r="Q1811" s="1" t="s">
        <v>33</v>
      </c>
      <c r="R1811" s="2" t="s">
        <v>4029</v>
      </c>
      <c r="S1811" s="1" t="s">
        <v>6243</v>
      </c>
      <c r="T1811" s="1">
        <v>2340</v>
      </c>
      <c r="U1811" s="1">
        <v>2340</v>
      </c>
      <c r="V1811" s="1">
        <v>2340</v>
      </c>
    </row>
    <row r="1812" spans="1:39" x14ac:dyDescent="0.2">
      <c r="A1812" s="1" t="s">
        <v>2522</v>
      </c>
      <c r="B1812" s="1">
        <v>21708048</v>
      </c>
      <c r="C1812" s="1" t="s">
        <v>7420</v>
      </c>
      <c r="E1812" s="21">
        <v>29</v>
      </c>
      <c r="G1812" s="1" t="s">
        <v>951</v>
      </c>
      <c r="H1812" s="1" t="s">
        <v>7229</v>
      </c>
      <c r="I1812" s="5">
        <v>40722</v>
      </c>
      <c r="J1812" s="18" t="s">
        <v>11</v>
      </c>
      <c r="K1812" s="1" t="s">
        <v>538</v>
      </c>
      <c r="L1812" s="1" t="s">
        <v>2715</v>
      </c>
      <c r="M1812" s="5"/>
      <c r="N1812" s="5" t="s">
        <v>10</v>
      </c>
      <c r="O1812" s="5" t="s">
        <v>10</v>
      </c>
      <c r="P1812" s="1" t="s">
        <v>5136</v>
      </c>
      <c r="Q1812" s="1" t="s">
        <v>5137</v>
      </c>
      <c r="R1812" s="2" t="s">
        <v>4659</v>
      </c>
      <c r="S1812" s="1" t="s">
        <v>6243</v>
      </c>
      <c r="T1812" s="1">
        <v>10664</v>
      </c>
      <c r="U1812" s="1">
        <v>327</v>
      </c>
      <c r="V1812" s="1">
        <v>327</v>
      </c>
      <c r="AH1812" s="1">
        <v>10337</v>
      </c>
      <c r="AI1812" s="1">
        <v>10337</v>
      </c>
    </row>
    <row r="1813" spans="1:39" x14ac:dyDescent="0.2">
      <c r="A1813" s="1" t="s">
        <v>2523</v>
      </c>
      <c r="B1813" s="1">
        <v>21716314</v>
      </c>
      <c r="C1813" s="1" t="s">
        <v>7420</v>
      </c>
      <c r="E1813" s="21">
        <v>304</v>
      </c>
      <c r="G1813" s="1" t="s">
        <v>2524</v>
      </c>
      <c r="H1813" s="1" t="s">
        <v>6680</v>
      </c>
      <c r="I1813" s="5">
        <v>40724</v>
      </c>
      <c r="J1813" s="18" t="s">
        <v>10</v>
      </c>
      <c r="K1813" s="1" t="s">
        <v>1850</v>
      </c>
      <c r="L1813" s="1" t="s">
        <v>2971</v>
      </c>
      <c r="M1813" s="5"/>
      <c r="N1813" s="5" t="s">
        <v>11</v>
      </c>
      <c r="O1813" s="5" t="s">
        <v>11</v>
      </c>
      <c r="P1813" s="1" t="s">
        <v>3723</v>
      </c>
      <c r="Q1813" s="1" t="s">
        <v>33</v>
      </c>
      <c r="R1813" s="2" t="s">
        <v>3209</v>
      </c>
      <c r="S1813" s="1" t="s">
        <v>6243</v>
      </c>
      <c r="T1813" s="1">
        <v>2502</v>
      </c>
      <c r="U1813" s="1">
        <v>2502</v>
      </c>
      <c r="V1813" s="1">
        <v>2502</v>
      </c>
    </row>
    <row r="1814" spans="1:39" x14ac:dyDescent="0.2">
      <c r="A1814" s="1" t="s">
        <v>2530</v>
      </c>
      <c r="B1814" s="1">
        <v>21718536</v>
      </c>
      <c r="C1814" s="1" t="s">
        <v>7420</v>
      </c>
      <c r="D1814" s="1">
        <v>1</v>
      </c>
      <c r="E1814" s="21">
        <v>0</v>
      </c>
      <c r="G1814" s="1" t="s">
        <v>2531</v>
      </c>
      <c r="H1814" s="1" t="s">
        <v>7052</v>
      </c>
      <c r="I1814" s="5">
        <v>40724</v>
      </c>
      <c r="J1814" s="18" t="s">
        <v>10</v>
      </c>
      <c r="K1814" s="1" t="s">
        <v>220</v>
      </c>
      <c r="L1814" s="1" t="s">
        <v>2972</v>
      </c>
      <c r="M1814" s="5"/>
      <c r="N1814" s="5" t="s">
        <v>10</v>
      </c>
      <c r="O1814" s="5" t="s">
        <v>10</v>
      </c>
      <c r="P1814" s="1" t="s">
        <v>5121</v>
      </c>
      <c r="Q1814" s="1" t="s">
        <v>33</v>
      </c>
      <c r="R1814" s="2" t="s">
        <v>5684</v>
      </c>
      <c r="S1814" s="1" t="s">
        <v>6243</v>
      </c>
      <c r="T1814" s="1">
        <v>417</v>
      </c>
      <c r="U1814" s="1">
        <v>417</v>
      </c>
      <c r="V1814" s="1">
        <v>417</v>
      </c>
    </row>
    <row r="1815" spans="1:39" x14ac:dyDescent="0.2">
      <c r="A1815" s="1" t="s">
        <v>2181</v>
      </c>
      <c r="B1815" s="1">
        <v>21725308</v>
      </c>
      <c r="C1815" s="1" t="s">
        <v>7420</v>
      </c>
      <c r="E1815" s="21">
        <v>161</v>
      </c>
      <c r="G1815" s="1" t="s">
        <v>54</v>
      </c>
      <c r="H1815" s="1" t="s">
        <v>1809</v>
      </c>
      <c r="I1815" s="5">
        <v>40727</v>
      </c>
      <c r="J1815" s="18" t="s">
        <v>11</v>
      </c>
      <c r="K1815" s="1" t="s">
        <v>28</v>
      </c>
      <c r="L1815" s="1" t="s">
        <v>2716</v>
      </c>
      <c r="N1815" s="5" t="s">
        <v>10</v>
      </c>
      <c r="O1815" s="5" t="s">
        <v>10</v>
      </c>
      <c r="P1815" s="1" t="s">
        <v>4349</v>
      </c>
      <c r="Q1815" s="1" t="s">
        <v>4663</v>
      </c>
      <c r="R1815" s="2" t="s">
        <v>4664</v>
      </c>
      <c r="S1815" s="1" t="s">
        <v>6242</v>
      </c>
      <c r="T1815" s="1">
        <v>18130</v>
      </c>
      <c r="U1815" s="1">
        <v>5408</v>
      </c>
      <c r="X1815" s="1">
        <v>5408</v>
      </c>
      <c r="AH1815" s="1">
        <v>12722</v>
      </c>
      <c r="AK1815" s="1">
        <v>12722</v>
      </c>
    </row>
    <row r="1816" spans="1:39" x14ac:dyDescent="0.2">
      <c r="A1816" s="1" t="s">
        <v>1801</v>
      </c>
      <c r="B1816" s="1">
        <v>21725309</v>
      </c>
      <c r="C1816" s="1" t="s">
        <v>7420</v>
      </c>
      <c r="E1816" s="21">
        <v>60</v>
      </c>
      <c r="G1816" s="1" t="s">
        <v>7080</v>
      </c>
      <c r="H1816" s="1" t="s">
        <v>2558</v>
      </c>
      <c r="I1816" s="5">
        <v>40727</v>
      </c>
      <c r="J1816" s="18" t="s">
        <v>11</v>
      </c>
      <c r="K1816" s="1" t="s">
        <v>28</v>
      </c>
      <c r="L1816" s="1" t="s">
        <v>2718</v>
      </c>
      <c r="N1816" s="5" t="s">
        <v>10</v>
      </c>
      <c r="O1816" s="5" t="s">
        <v>10</v>
      </c>
      <c r="P1816" s="1" t="s">
        <v>2717</v>
      </c>
      <c r="Q1816" s="1" t="s">
        <v>6661</v>
      </c>
      <c r="R1816" s="2" t="s">
        <v>4742</v>
      </c>
      <c r="S1816" s="1" t="s">
        <v>6242</v>
      </c>
      <c r="T1816" s="1">
        <v>3312</v>
      </c>
      <c r="U1816" s="1">
        <v>977</v>
      </c>
      <c r="X1816" s="1">
        <v>977</v>
      </c>
      <c r="AH1816" s="1">
        <v>2335</v>
      </c>
      <c r="AK1816" s="1">
        <v>2335</v>
      </c>
    </row>
    <row r="1817" spans="1:39" x14ac:dyDescent="0.2">
      <c r="A1817" s="1" t="s">
        <v>2532</v>
      </c>
      <c r="B1817" s="1">
        <v>21729881</v>
      </c>
      <c r="C1817" s="1" t="s">
        <v>7420</v>
      </c>
      <c r="E1817" s="21">
        <v>15</v>
      </c>
      <c r="G1817" s="1" t="s">
        <v>6741</v>
      </c>
      <c r="H1817" s="1" t="s">
        <v>7219</v>
      </c>
      <c r="I1817" s="5">
        <v>40729</v>
      </c>
      <c r="J1817" s="18" t="s">
        <v>11</v>
      </c>
      <c r="K1817" s="1" t="s">
        <v>103</v>
      </c>
      <c r="L1817" s="1" t="s">
        <v>2720</v>
      </c>
      <c r="M1817" s="5"/>
      <c r="N1817" s="5" t="s">
        <v>11</v>
      </c>
      <c r="O1817" s="5" t="s">
        <v>10</v>
      </c>
      <c r="P1817" s="1" t="s">
        <v>4206</v>
      </c>
      <c r="Q1817" s="1" t="s">
        <v>2719</v>
      </c>
      <c r="R1817" s="1" t="s">
        <v>6445</v>
      </c>
      <c r="S1817" s="1" t="s">
        <v>6243</v>
      </c>
      <c r="T1817" s="1">
        <v>7781</v>
      </c>
      <c r="U1817" s="1">
        <v>4014</v>
      </c>
      <c r="V1817" s="1">
        <v>4014</v>
      </c>
      <c r="AH1817" s="1">
        <v>3767</v>
      </c>
      <c r="AI1817" s="1">
        <v>3767</v>
      </c>
    </row>
    <row r="1818" spans="1:39" x14ac:dyDescent="0.2">
      <c r="A1818" s="1" t="s">
        <v>2538</v>
      </c>
      <c r="B1818" s="1">
        <v>21732829</v>
      </c>
      <c r="C1818" s="1" t="s">
        <v>7420</v>
      </c>
      <c r="E1818" s="21">
        <v>33</v>
      </c>
      <c r="G1818" s="1" t="s">
        <v>1983</v>
      </c>
      <c r="H1818" s="1" t="s">
        <v>137</v>
      </c>
      <c r="I1818" s="5">
        <v>40730</v>
      </c>
      <c r="J1818" s="18" t="s">
        <v>11</v>
      </c>
      <c r="K1818" s="1" t="s">
        <v>157</v>
      </c>
      <c r="L1818" s="1" t="s">
        <v>2973</v>
      </c>
      <c r="M1818" s="5"/>
      <c r="N1818" s="5" t="s">
        <v>10</v>
      </c>
      <c r="O1818" s="5" t="s">
        <v>10</v>
      </c>
      <c r="P1818" s="1" t="s">
        <v>3494</v>
      </c>
      <c r="Q1818" s="1" t="s">
        <v>3495</v>
      </c>
      <c r="R1818" s="2" t="s">
        <v>6032</v>
      </c>
      <c r="S1818" s="1" t="s">
        <v>6243</v>
      </c>
      <c r="T1818" s="1">
        <v>11859</v>
      </c>
      <c r="U1818" s="1">
        <v>3692</v>
      </c>
      <c r="V1818" s="1">
        <v>3692</v>
      </c>
      <c r="AH1818" s="1">
        <v>8167</v>
      </c>
      <c r="AI1818" s="1">
        <v>8167</v>
      </c>
    </row>
    <row r="1819" spans="1:39" x14ac:dyDescent="0.2">
      <c r="A1819" s="1" t="s">
        <v>2550</v>
      </c>
      <c r="B1819" s="1">
        <v>21737656</v>
      </c>
      <c r="C1819" s="1" t="s">
        <v>7420</v>
      </c>
      <c r="E1819" s="21">
        <v>14</v>
      </c>
      <c r="G1819" s="1" t="s">
        <v>7081</v>
      </c>
      <c r="H1819" s="1" t="s">
        <v>7082</v>
      </c>
      <c r="I1819" s="5">
        <v>40709</v>
      </c>
      <c r="J1819" s="18" t="s">
        <v>10</v>
      </c>
      <c r="K1819" s="1" t="s">
        <v>2974</v>
      </c>
      <c r="L1819" s="1" t="s">
        <v>2975</v>
      </c>
      <c r="N1819" s="5" t="s">
        <v>10</v>
      </c>
      <c r="O1819" s="5" t="s">
        <v>10</v>
      </c>
      <c r="P1819" s="1" t="s">
        <v>6408</v>
      </c>
      <c r="Q1819" s="1" t="s">
        <v>33</v>
      </c>
      <c r="R1819" s="2" t="s">
        <v>5877</v>
      </c>
      <c r="S1819" s="1" t="s">
        <v>6244</v>
      </c>
      <c r="T1819" s="1">
        <v>403</v>
      </c>
      <c r="U1819" s="1">
        <v>403</v>
      </c>
      <c r="V1819" s="1">
        <v>373</v>
      </c>
      <c r="AE1819" s="1">
        <v>30</v>
      </c>
    </row>
    <row r="1820" spans="1:39" x14ac:dyDescent="0.2">
      <c r="A1820" s="1" t="s">
        <v>1326</v>
      </c>
      <c r="B1820" s="1">
        <v>21738478</v>
      </c>
      <c r="C1820" s="1" t="s">
        <v>7420</v>
      </c>
      <c r="E1820" s="21">
        <v>43</v>
      </c>
      <c r="G1820" s="1" t="s">
        <v>6981</v>
      </c>
      <c r="H1820" s="1" t="s">
        <v>7216</v>
      </c>
      <c r="I1820" s="5">
        <v>40724</v>
      </c>
      <c r="J1820" s="18" t="s">
        <v>11</v>
      </c>
      <c r="K1820" s="1" t="s">
        <v>65</v>
      </c>
      <c r="L1820" s="1" t="s">
        <v>2721</v>
      </c>
      <c r="M1820" s="5"/>
      <c r="N1820" s="5" t="s">
        <v>10</v>
      </c>
      <c r="O1820" s="5" t="s">
        <v>10</v>
      </c>
      <c r="P1820" s="1" t="s">
        <v>4853</v>
      </c>
      <c r="Q1820" s="1" t="s">
        <v>4600</v>
      </c>
      <c r="R1820" s="2" t="s">
        <v>4854</v>
      </c>
      <c r="S1820" s="1" t="s">
        <v>6242</v>
      </c>
      <c r="T1820" s="1">
        <v>14792</v>
      </c>
      <c r="U1820" s="1">
        <v>8794</v>
      </c>
      <c r="X1820" s="1">
        <v>8794</v>
      </c>
      <c r="AH1820" s="1">
        <v>5998</v>
      </c>
      <c r="AK1820" s="1">
        <v>5998</v>
      </c>
    </row>
    <row r="1821" spans="1:39" x14ac:dyDescent="0.2">
      <c r="A1821" s="1" t="s">
        <v>2533</v>
      </c>
      <c r="B1821" s="1">
        <v>21738479</v>
      </c>
      <c r="C1821" s="1" t="s">
        <v>7420</v>
      </c>
      <c r="E1821" s="21">
        <v>690</v>
      </c>
      <c r="G1821" s="1" t="s">
        <v>6981</v>
      </c>
      <c r="H1821" s="1" t="s">
        <v>7216</v>
      </c>
      <c r="I1821" s="5">
        <v>40724</v>
      </c>
      <c r="J1821" s="18" t="s">
        <v>11</v>
      </c>
      <c r="K1821" s="1" t="s">
        <v>65</v>
      </c>
      <c r="L1821" s="1" t="s">
        <v>2722</v>
      </c>
      <c r="M1821" s="5"/>
      <c r="N1821" s="5" t="s">
        <v>10</v>
      </c>
      <c r="O1821" s="5" t="s">
        <v>10</v>
      </c>
      <c r="P1821" s="1" t="s">
        <v>4658</v>
      </c>
      <c r="Q1821" s="1" t="s">
        <v>4898</v>
      </c>
      <c r="R1821" s="2" t="s">
        <v>4899</v>
      </c>
      <c r="S1821" s="1" t="s">
        <v>6244</v>
      </c>
      <c r="T1821" s="1">
        <v>54215</v>
      </c>
      <c r="U1821" s="1">
        <v>16388</v>
      </c>
      <c r="W1821" s="1">
        <v>16388</v>
      </c>
      <c r="AH1821" s="1">
        <v>37827</v>
      </c>
      <c r="AI1821" s="1">
        <v>19509</v>
      </c>
      <c r="AK1821" s="1">
        <v>14767</v>
      </c>
      <c r="AM1821" s="1">
        <v>3551</v>
      </c>
    </row>
    <row r="1822" spans="1:39" x14ac:dyDescent="0.2">
      <c r="A1822" s="1" t="s">
        <v>1374</v>
      </c>
      <c r="B1822" s="1">
        <v>21738484</v>
      </c>
      <c r="C1822" s="1" t="s">
        <v>7420</v>
      </c>
      <c r="E1822" s="21">
        <v>20</v>
      </c>
      <c r="G1822" s="1" t="s">
        <v>112</v>
      </c>
      <c r="H1822" s="1" t="s">
        <v>7145</v>
      </c>
      <c r="I1822" s="5">
        <v>40724</v>
      </c>
      <c r="J1822" s="18" t="s">
        <v>11</v>
      </c>
      <c r="K1822" s="1" t="s">
        <v>65</v>
      </c>
      <c r="L1822" s="1" t="s">
        <v>2723</v>
      </c>
      <c r="M1822" s="5"/>
      <c r="N1822" s="5" t="s">
        <v>10</v>
      </c>
      <c r="O1822" s="5" t="s">
        <v>10</v>
      </c>
      <c r="P1822" s="1" t="s">
        <v>5164</v>
      </c>
      <c r="Q1822" s="1" t="s">
        <v>6368</v>
      </c>
      <c r="R1822" s="2" t="s">
        <v>4346</v>
      </c>
      <c r="S1822" s="1" t="s">
        <v>6243</v>
      </c>
      <c r="T1822" s="1">
        <v>19804</v>
      </c>
      <c r="U1822" s="1">
        <v>3625</v>
      </c>
      <c r="V1822" s="1">
        <v>3625</v>
      </c>
      <c r="AH1822" s="1">
        <v>16179</v>
      </c>
      <c r="AI1822" s="1">
        <v>16179</v>
      </c>
    </row>
    <row r="1823" spans="1:39" x14ac:dyDescent="0.2">
      <c r="A1823" s="1" t="s">
        <v>2500</v>
      </c>
      <c r="B1823" s="1">
        <v>21738487</v>
      </c>
      <c r="C1823" s="1" t="s">
        <v>7420</v>
      </c>
      <c r="E1823" s="21">
        <v>399</v>
      </c>
      <c r="G1823" s="1" t="s">
        <v>19</v>
      </c>
      <c r="H1823" s="1" t="s">
        <v>7195</v>
      </c>
      <c r="I1823" s="5">
        <v>40717</v>
      </c>
      <c r="J1823" s="18" t="s">
        <v>11</v>
      </c>
      <c r="K1823" s="1" t="s">
        <v>65</v>
      </c>
      <c r="L1823" s="1" t="s">
        <v>2724</v>
      </c>
      <c r="M1823" s="5"/>
      <c r="N1823" s="5" t="s">
        <v>10</v>
      </c>
      <c r="O1823" s="5" t="s">
        <v>10</v>
      </c>
      <c r="P1823" s="1" t="s">
        <v>3695</v>
      </c>
      <c r="Q1823" s="1" t="s">
        <v>3696</v>
      </c>
      <c r="R1823" s="2" t="s">
        <v>4139</v>
      </c>
      <c r="S1823" s="1" t="s">
        <v>6243</v>
      </c>
      <c r="T1823" s="1">
        <v>56835</v>
      </c>
      <c r="U1823" s="1">
        <v>33050</v>
      </c>
      <c r="V1823" s="1">
        <v>33050</v>
      </c>
      <c r="AH1823" s="1">
        <v>23785</v>
      </c>
      <c r="AI1823" s="1">
        <v>23785</v>
      </c>
    </row>
    <row r="1824" spans="1:39" x14ac:dyDescent="0.2">
      <c r="A1824" s="1" t="s">
        <v>30</v>
      </c>
      <c r="B1824" s="1">
        <v>21738491</v>
      </c>
      <c r="C1824" s="1" t="s">
        <v>7420</v>
      </c>
      <c r="E1824" s="21">
        <v>21</v>
      </c>
      <c r="G1824" s="1" t="s">
        <v>2226</v>
      </c>
      <c r="H1824" s="1" t="s">
        <v>7190</v>
      </c>
      <c r="I1824" s="5">
        <v>40724</v>
      </c>
      <c r="J1824" s="18" t="s">
        <v>11</v>
      </c>
      <c r="K1824" s="1" t="s">
        <v>65</v>
      </c>
      <c r="L1824" s="1" t="s">
        <v>2725</v>
      </c>
      <c r="M1824" s="5"/>
      <c r="N1824" s="5" t="s">
        <v>10</v>
      </c>
      <c r="O1824" s="5" t="s">
        <v>10</v>
      </c>
      <c r="P1824" s="1" t="s">
        <v>5063</v>
      </c>
      <c r="Q1824" s="1" t="s">
        <v>5064</v>
      </c>
      <c r="R1824" s="2" t="s">
        <v>868</v>
      </c>
      <c r="S1824" s="1" t="s">
        <v>6243</v>
      </c>
      <c r="T1824" s="1">
        <v>35548</v>
      </c>
      <c r="U1824" s="1">
        <v>21283</v>
      </c>
      <c r="V1824" s="1">
        <v>21283</v>
      </c>
      <c r="AH1824" s="1">
        <v>14265</v>
      </c>
      <c r="AI1824" s="1">
        <v>14265</v>
      </c>
    </row>
    <row r="1825" spans="1:46" x14ac:dyDescent="0.2">
      <c r="A1825" s="1" t="s">
        <v>2539</v>
      </c>
      <c r="B1825" s="1">
        <v>21738768</v>
      </c>
      <c r="C1825" s="1" t="s">
        <v>7420</v>
      </c>
      <c r="D1825" s="1">
        <v>1</v>
      </c>
      <c r="E1825" s="21">
        <v>0</v>
      </c>
      <c r="G1825" s="1" t="s">
        <v>2540</v>
      </c>
      <c r="H1825" s="1" t="s">
        <v>7137</v>
      </c>
      <c r="I1825" s="5">
        <v>40722</v>
      </c>
      <c r="J1825" s="18" t="s">
        <v>10</v>
      </c>
      <c r="K1825" s="1" t="s">
        <v>181</v>
      </c>
      <c r="L1825" s="1" t="s">
        <v>2976</v>
      </c>
      <c r="M1825" s="5"/>
      <c r="N1825" s="5" t="s">
        <v>10</v>
      </c>
      <c r="O1825" s="5" t="s">
        <v>10</v>
      </c>
      <c r="P1825" s="1" t="s">
        <v>3389</v>
      </c>
      <c r="Q1825" s="1" t="s">
        <v>33</v>
      </c>
      <c r="R1825" s="2" t="s">
        <v>6669</v>
      </c>
      <c r="S1825" s="1" t="s">
        <v>6248</v>
      </c>
      <c r="T1825" s="1">
        <v>87</v>
      </c>
      <c r="U1825" s="1">
        <v>87</v>
      </c>
      <c r="AE1825" s="1">
        <v>87</v>
      </c>
    </row>
    <row r="1826" spans="1:46" x14ac:dyDescent="0.2">
      <c r="A1826" s="1" t="s">
        <v>2536</v>
      </c>
      <c r="B1826" s="1">
        <v>21740922</v>
      </c>
      <c r="C1826" s="1" t="s">
        <v>7420</v>
      </c>
      <c r="E1826" s="21">
        <v>16</v>
      </c>
      <c r="G1826" s="1" t="s">
        <v>1387</v>
      </c>
      <c r="H1826" s="1" t="s">
        <v>2428</v>
      </c>
      <c r="I1826" s="5">
        <v>40723</v>
      </c>
      <c r="J1826" s="18" t="s">
        <v>11</v>
      </c>
      <c r="K1826" s="1" t="s">
        <v>2727</v>
      </c>
      <c r="L1826" s="1" t="s">
        <v>2728</v>
      </c>
      <c r="M1826" s="5"/>
      <c r="N1826" s="5" t="s">
        <v>10</v>
      </c>
      <c r="O1826" s="5" t="s">
        <v>10</v>
      </c>
      <c r="P1826" s="1" t="s">
        <v>4107</v>
      </c>
      <c r="Q1826" s="1" t="s">
        <v>2726</v>
      </c>
      <c r="R1826" s="2" t="s">
        <v>4497</v>
      </c>
      <c r="S1826" s="1" t="s">
        <v>6243</v>
      </c>
      <c r="T1826" s="1">
        <v>3435</v>
      </c>
      <c r="U1826" s="1">
        <v>1821</v>
      </c>
      <c r="V1826" s="1">
        <v>1821</v>
      </c>
      <c r="AH1826" s="1">
        <v>1614</v>
      </c>
      <c r="AI1826" s="1">
        <v>1614</v>
      </c>
    </row>
    <row r="1827" spans="1:46" x14ac:dyDescent="0.2">
      <c r="A1827" s="1" t="s">
        <v>2534</v>
      </c>
      <c r="B1827" s="1">
        <v>21743057</v>
      </c>
      <c r="C1827" s="1" t="s">
        <v>7420</v>
      </c>
      <c r="E1827" s="21">
        <v>70</v>
      </c>
      <c r="G1827" s="1" t="s">
        <v>2535</v>
      </c>
      <c r="H1827" s="1" t="s">
        <v>6689</v>
      </c>
      <c r="I1827" s="5">
        <v>40732</v>
      </c>
      <c r="J1827" s="18" t="s">
        <v>11</v>
      </c>
      <c r="K1827" s="1" t="s">
        <v>103</v>
      </c>
      <c r="L1827" s="1" t="s">
        <v>2729</v>
      </c>
      <c r="M1827" s="5"/>
      <c r="N1827" s="5" t="s">
        <v>11</v>
      </c>
      <c r="O1827" s="5" t="s">
        <v>11</v>
      </c>
      <c r="P1827" s="1" t="s">
        <v>5187</v>
      </c>
      <c r="Q1827" s="1" t="s">
        <v>5188</v>
      </c>
      <c r="R1827" s="2" t="s">
        <v>4048</v>
      </c>
      <c r="S1827" s="1" t="s">
        <v>6243</v>
      </c>
      <c r="T1827" s="1">
        <v>22189</v>
      </c>
      <c r="U1827" s="1">
        <v>7240</v>
      </c>
      <c r="V1827" s="1">
        <v>7240</v>
      </c>
      <c r="AH1827" s="1">
        <v>14949</v>
      </c>
      <c r="AI1827" s="1">
        <v>14949</v>
      </c>
    </row>
    <row r="1828" spans="1:46" x14ac:dyDescent="0.2">
      <c r="A1828" s="1" t="s">
        <v>2537</v>
      </c>
      <c r="B1828" s="1">
        <v>21743467</v>
      </c>
      <c r="C1828" s="1" t="s">
        <v>7420</v>
      </c>
      <c r="E1828" s="21">
        <v>21</v>
      </c>
      <c r="G1828" s="1" t="s">
        <v>77</v>
      </c>
      <c r="H1828" s="1" t="s">
        <v>6689</v>
      </c>
      <c r="I1828" s="5">
        <v>40704</v>
      </c>
      <c r="J1828" s="18" t="s">
        <v>11</v>
      </c>
      <c r="K1828" s="1" t="s">
        <v>28</v>
      </c>
      <c r="L1828" s="1" t="s">
        <v>2730</v>
      </c>
      <c r="M1828" s="5"/>
      <c r="N1828" s="5" t="s">
        <v>11</v>
      </c>
      <c r="O1828" s="5" t="s">
        <v>11</v>
      </c>
      <c r="P1828" s="1" t="s">
        <v>5339</v>
      </c>
      <c r="Q1828" s="1" t="s">
        <v>5340</v>
      </c>
      <c r="R1828" s="2" t="s">
        <v>6480</v>
      </c>
      <c r="S1828" s="1" t="s">
        <v>6244</v>
      </c>
      <c r="T1828" s="1">
        <v>73609</v>
      </c>
      <c r="U1828" s="1">
        <v>13560</v>
      </c>
      <c r="V1828" s="1">
        <v>13560</v>
      </c>
      <c r="AH1828" s="1">
        <v>60049</v>
      </c>
      <c r="AI1828" s="1">
        <v>46191</v>
      </c>
      <c r="AJ1828" s="1">
        <v>410</v>
      </c>
      <c r="AK1828" s="1">
        <v>853</v>
      </c>
      <c r="AR1828" s="1">
        <v>12595</v>
      </c>
    </row>
    <row r="1829" spans="1:46" x14ac:dyDescent="0.2">
      <c r="A1829" s="1" t="s">
        <v>2557</v>
      </c>
      <c r="B1829" s="1">
        <v>21743469</v>
      </c>
      <c r="C1829" s="1" t="s">
        <v>7420</v>
      </c>
      <c r="E1829" s="21">
        <v>50</v>
      </c>
      <c r="G1829" s="1" t="s">
        <v>1260</v>
      </c>
      <c r="H1829" s="1" t="s">
        <v>492</v>
      </c>
      <c r="I1829" s="5">
        <v>40734</v>
      </c>
      <c r="J1829" s="18" t="s">
        <v>11</v>
      </c>
      <c r="K1829" s="1" t="s">
        <v>28</v>
      </c>
      <c r="L1829" s="1" t="s">
        <v>2731</v>
      </c>
      <c r="N1829" s="5" t="s">
        <v>10</v>
      </c>
      <c r="O1829" s="5" t="s">
        <v>10</v>
      </c>
      <c r="P1829" s="1" t="s">
        <v>5227</v>
      </c>
      <c r="Q1829" s="1" t="s">
        <v>5228</v>
      </c>
      <c r="R1829" s="2" t="s">
        <v>4364</v>
      </c>
      <c r="S1829" s="1" t="s">
        <v>6243</v>
      </c>
      <c r="T1829" s="1">
        <v>18396</v>
      </c>
      <c r="U1829" s="1">
        <v>11802</v>
      </c>
      <c r="V1829" s="1">
        <v>11802</v>
      </c>
      <c r="AH1829" s="1">
        <v>6594</v>
      </c>
      <c r="AI1829" s="1">
        <v>6594</v>
      </c>
    </row>
    <row r="1830" spans="1:46" x14ac:dyDescent="0.2">
      <c r="A1830" s="1" t="s">
        <v>1704</v>
      </c>
      <c r="B1830" s="1">
        <v>21747397</v>
      </c>
      <c r="C1830" s="1" t="s">
        <v>7420</v>
      </c>
      <c r="E1830" s="21">
        <v>42</v>
      </c>
      <c r="G1830" s="1" t="s">
        <v>74</v>
      </c>
      <c r="H1830" s="1" t="s">
        <v>2545</v>
      </c>
      <c r="I1830" s="5">
        <v>40706</v>
      </c>
      <c r="J1830" s="18" t="s">
        <v>11</v>
      </c>
      <c r="K1830" s="1" t="s">
        <v>71</v>
      </c>
      <c r="L1830" s="1" t="s">
        <v>2732</v>
      </c>
      <c r="M1830" s="5"/>
      <c r="N1830" s="5" t="s">
        <v>10</v>
      </c>
      <c r="O1830" s="5" t="s">
        <v>10</v>
      </c>
      <c r="P1830" s="1" t="s">
        <v>6091</v>
      </c>
      <c r="Q1830" s="1" t="s">
        <v>5055</v>
      </c>
      <c r="R1830" s="2" t="s">
        <v>4548</v>
      </c>
      <c r="S1830" s="1" t="s">
        <v>6243</v>
      </c>
      <c r="T1830" s="1">
        <v>38460</v>
      </c>
      <c r="U1830" s="1">
        <v>4883</v>
      </c>
      <c r="V1830" s="1">
        <v>4883</v>
      </c>
      <c r="AH1830" s="1">
        <v>33577</v>
      </c>
      <c r="AI1830" s="1">
        <v>33577</v>
      </c>
    </row>
    <row r="1831" spans="1:46" x14ac:dyDescent="0.2">
      <c r="A1831" s="1" t="s">
        <v>2121</v>
      </c>
      <c r="B1831" s="1">
        <v>21750109</v>
      </c>
      <c r="C1831" s="1" t="s">
        <v>7420</v>
      </c>
      <c r="E1831" s="21">
        <v>88</v>
      </c>
      <c r="G1831" s="1" t="s">
        <v>524</v>
      </c>
      <c r="H1831" s="1" t="s">
        <v>525</v>
      </c>
      <c r="I1831" s="5">
        <v>40736</v>
      </c>
      <c r="J1831" s="18" t="s">
        <v>11</v>
      </c>
      <c r="K1831" s="1" t="s">
        <v>103</v>
      </c>
      <c r="L1831" s="1" t="s">
        <v>2733</v>
      </c>
      <c r="M1831" s="5"/>
      <c r="N1831" s="5" t="s">
        <v>10</v>
      </c>
      <c r="O1831" s="5" t="s">
        <v>10</v>
      </c>
      <c r="P1831" s="1" t="s">
        <v>5165</v>
      </c>
      <c r="Q1831" s="1" t="s">
        <v>5166</v>
      </c>
      <c r="R1831" s="2" t="s">
        <v>5001</v>
      </c>
      <c r="S1831" s="1" t="s">
        <v>6244</v>
      </c>
      <c r="T1831" s="1">
        <v>57984</v>
      </c>
      <c r="U1831" s="1">
        <v>43837</v>
      </c>
      <c r="V1831" s="1">
        <v>43837</v>
      </c>
      <c r="AH1831" s="1">
        <v>14147</v>
      </c>
      <c r="AI1831" s="1">
        <v>13632</v>
      </c>
      <c r="AP1831" s="1">
        <v>515</v>
      </c>
    </row>
    <row r="1832" spans="1:46" x14ac:dyDescent="0.2">
      <c r="A1832" s="1" t="s">
        <v>2544</v>
      </c>
      <c r="B1832" s="1">
        <v>21750111</v>
      </c>
      <c r="C1832" s="1" t="s">
        <v>7420</v>
      </c>
      <c r="E1832" s="21">
        <v>92</v>
      </c>
      <c r="G1832" s="1" t="s">
        <v>821</v>
      </c>
      <c r="H1832" s="1" t="s">
        <v>7121</v>
      </c>
      <c r="I1832" s="5">
        <v>40736</v>
      </c>
      <c r="J1832" s="18" t="s">
        <v>11</v>
      </c>
      <c r="K1832" s="1" t="s">
        <v>103</v>
      </c>
      <c r="L1832" s="1" t="s">
        <v>2734</v>
      </c>
      <c r="M1832" s="5"/>
      <c r="N1832" s="5" t="s">
        <v>10</v>
      </c>
      <c r="O1832" s="5" t="s">
        <v>10</v>
      </c>
      <c r="P1832" s="1" t="s">
        <v>4241</v>
      </c>
      <c r="Q1832" s="1" t="s">
        <v>4476</v>
      </c>
      <c r="R1832" s="2" t="s">
        <v>4379</v>
      </c>
      <c r="S1832" s="1" t="s">
        <v>6242</v>
      </c>
      <c r="T1832" s="1">
        <v>9163</v>
      </c>
      <c r="U1832" s="1">
        <v>2514</v>
      </c>
      <c r="X1832" s="1">
        <v>2514</v>
      </c>
      <c r="AH1832" s="1">
        <v>6649</v>
      </c>
      <c r="AK1832" s="1">
        <v>6649</v>
      </c>
    </row>
    <row r="1833" spans="1:46" x14ac:dyDescent="0.2">
      <c r="A1833" s="1" t="s">
        <v>2543</v>
      </c>
      <c r="B1833" s="1">
        <v>21750679</v>
      </c>
      <c r="C1833" s="1" t="s">
        <v>7420</v>
      </c>
      <c r="E1833" s="21">
        <v>152</v>
      </c>
      <c r="G1833" s="1" t="s">
        <v>1196</v>
      </c>
      <c r="H1833" s="1" t="s">
        <v>1197</v>
      </c>
      <c r="I1833" s="5">
        <v>40731</v>
      </c>
      <c r="J1833" s="18" t="s">
        <v>11</v>
      </c>
      <c r="K1833" s="1" t="s">
        <v>65</v>
      </c>
      <c r="L1833" s="1" t="s">
        <v>2735</v>
      </c>
      <c r="M1833" s="5"/>
      <c r="N1833" s="5" t="s">
        <v>10</v>
      </c>
      <c r="O1833" s="5" t="s">
        <v>10</v>
      </c>
      <c r="P1833" s="1" t="s">
        <v>4089</v>
      </c>
      <c r="Q1833" s="1" t="s">
        <v>4384</v>
      </c>
      <c r="R1833" s="2" t="s">
        <v>4926</v>
      </c>
      <c r="S1833" s="1" t="s">
        <v>6243</v>
      </c>
      <c r="T1833" s="1">
        <v>7948</v>
      </c>
      <c r="U1833" s="1">
        <v>2340</v>
      </c>
      <c r="V1833" s="1">
        <v>2340</v>
      </c>
      <c r="AH1833" s="1">
        <v>5608</v>
      </c>
      <c r="AI1833" s="1">
        <v>5608</v>
      </c>
    </row>
    <row r="1834" spans="1:46" x14ac:dyDescent="0.2">
      <c r="A1834" s="1" t="s">
        <v>2549</v>
      </c>
      <c r="B1834" s="1">
        <v>21750702</v>
      </c>
      <c r="C1834" s="1" t="s">
        <v>7420</v>
      </c>
      <c r="E1834" s="21">
        <v>46</v>
      </c>
      <c r="G1834" s="1" t="s">
        <v>6864</v>
      </c>
      <c r="H1834" s="1" t="s">
        <v>1774</v>
      </c>
      <c r="I1834" s="5">
        <v>40729</v>
      </c>
      <c r="J1834" s="18" t="s">
        <v>11</v>
      </c>
      <c r="K1834" s="1" t="s">
        <v>181</v>
      </c>
      <c r="L1834" s="1" t="s">
        <v>2736</v>
      </c>
      <c r="N1834" s="5" t="s">
        <v>10</v>
      </c>
      <c r="O1834" s="5" t="s">
        <v>10</v>
      </c>
      <c r="P1834" s="1" t="s">
        <v>5040</v>
      </c>
      <c r="Q1834" s="1" t="s">
        <v>3909</v>
      </c>
      <c r="R1834" s="2" t="s">
        <v>4133</v>
      </c>
      <c r="S1834" s="1" t="s">
        <v>6243</v>
      </c>
      <c r="T1834" s="1">
        <v>3554</v>
      </c>
      <c r="U1834" s="1">
        <v>2023</v>
      </c>
      <c r="V1834" s="1">
        <v>2023</v>
      </c>
      <c r="AH1834" s="1">
        <v>1531</v>
      </c>
      <c r="AI1834" s="1">
        <v>1531</v>
      </c>
    </row>
    <row r="1835" spans="1:46" x14ac:dyDescent="0.2">
      <c r="A1835" s="1" t="s">
        <v>2548</v>
      </c>
      <c r="B1835" s="1">
        <v>21755009</v>
      </c>
      <c r="C1835" s="1" t="s">
        <v>7420</v>
      </c>
      <c r="E1835" s="21">
        <v>951</v>
      </c>
      <c r="F1835" s="17">
        <v>1</v>
      </c>
      <c r="G1835" s="1" t="s">
        <v>6989</v>
      </c>
      <c r="H1835" s="1" t="s">
        <v>7342</v>
      </c>
      <c r="I1835" s="5">
        <v>40730</v>
      </c>
      <c r="J1835" s="18" t="s">
        <v>11</v>
      </c>
      <c r="K1835" s="1" t="s">
        <v>181</v>
      </c>
      <c r="L1835" s="1" t="s">
        <v>2738</v>
      </c>
      <c r="N1835" s="5" t="s">
        <v>10</v>
      </c>
      <c r="O1835" s="5" t="s">
        <v>10</v>
      </c>
      <c r="P1835" s="1" t="s">
        <v>2737</v>
      </c>
      <c r="Q1835" s="1" t="s">
        <v>33</v>
      </c>
      <c r="R1835" s="2" t="s">
        <v>6464</v>
      </c>
      <c r="S1835" s="1" t="s">
        <v>6440</v>
      </c>
      <c r="T1835" s="1">
        <v>259</v>
      </c>
      <c r="U1835" s="1">
        <v>259</v>
      </c>
      <c r="W1835" s="1">
        <v>259</v>
      </c>
    </row>
    <row r="1836" spans="1:46" x14ac:dyDescent="0.2">
      <c r="A1836" s="1" t="s">
        <v>1237</v>
      </c>
      <c r="B1836" s="1">
        <v>21757650</v>
      </c>
      <c r="C1836" s="1" t="s">
        <v>7420</v>
      </c>
      <c r="E1836" s="21">
        <v>106</v>
      </c>
      <c r="G1836" s="1" t="s">
        <v>6974</v>
      </c>
      <c r="H1836" s="1" t="s">
        <v>7211</v>
      </c>
      <c r="I1836" s="5">
        <v>40738</v>
      </c>
      <c r="J1836" s="18" t="s">
        <v>11</v>
      </c>
      <c r="K1836" s="1" t="s">
        <v>2027</v>
      </c>
      <c r="L1836" s="1" t="s">
        <v>2739</v>
      </c>
      <c r="N1836" s="5" t="s">
        <v>10</v>
      </c>
      <c r="O1836" s="5" t="s">
        <v>10</v>
      </c>
      <c r="P1836" s="1" t="s">
        <v>5544</v>
      </c>
      <c r="Q1836" s="1" t="s">
        <v>5545</v>
      </c>
      <c r="R1836" s="2" t="s">
        <v>5012</v>
      </c>
      <c r="S1836" s="1" t="s">
        <v>6243</v>
      </c>
      <c r="T1836" s="1">
        <v>5254</v>
      </c>
      <c r="U1836" s="1">
        <v>3527</v>
      </c>
      <c r="V1836" s="1">
        <v>3527</v>
      </c>
      <c r="AH1836" s="1">
        <v>1727</v>
      </c>
      <c r="AI1836" s="1">
        <v>1727</v>
      </c>
    </row>
    <row r="1837" spans="1:46" x14ac:dyDescent="0.2">
      <c r="A1837" s="1" t="s">
        <v>2553</v>
      </c>
      <c r="B1837" s="1">
        <v>21757653</v>
      </c>
      <c r="C1837" s="1" t="s">
        <v>7420</v>
      </c>
      <c r="E1837" s="21">
        <v>55</v>
      </c>
      <c r="G1837" s="1" t="s">
        <v>7030</v>
      </c>
      <c r="H1837" s="1" t="s">
        <v>7219</v>
      </c>
      <c r="I1837" s="5">
        <v>40738</v>
      </c>
      <c r="J1837" s="18" t="s">
        <v>11</v>
      </c>
      <c r="K1837" s="1" t="s">
        <v>529</v>
      </c>
      <c r="L1837" s="1" t="s">
        <v>2740</v>
      </c>
      <c r="N1837" s="5" t="s">
        <v>10</v>
      </c>
      <c r="O1837" s="5" t="s">
        <v>10</v>
      </c>
      <c r="P1837" s="1" t="s">
        <v>5229</v>
      </c>
      <c r="Q1837" s="1" t="s">
        <v>33</v>
      </c>
      <c r="R1837" s="2" t="s">
        <v>739</v>
      </c>
      <c r="S1837" s="1" t="s">
        <v>6243</v>
      </c>
      <c r="T1837" s="1">
        <v>3042</v>
      </c>
      <c r="U1837" s="1">
        <v>3042</v>
      </c>
      <c r="V1837" s="1">
        <v>3042</v>
      </c>
    </row>
    <row r="1838" spans="1:46" x14ac:dyDescent="0.2">
      <c r="A1838" s="1" t="s">
        <v>1220</v>
      </c>
      <c r="B1838" s="1">
        <v>21760914</v>
      </c>
      <c r="C1838" s="1" t="s">
        <v>7420</v>
      </c>
      <c r="E1838" s="21">
        <v>7</v>
      </c>
      <c r="G1838" s="1" t="s">
        <v>6843</v>
      </c>
      <c r="H1838" s="1" t="s">
        <v>430</v>
      </c>
      <c r="I1838" s="5">
        <v>40732</v>
      </c>
      <c r="J1838" s="18" t="s">
        <v>10</v>
      </c>
      <c r="K1838" s="1" t="s">
        <v>181</v>
      </c>
      <c r="L1838" s="1" t="s">
        <v>2977</v>
      </c>
      <c r="M1838" s="1" t="s">
        <v>3368</v>
      </c>
      <c r="N1838" s="5" t="s">
        <v>10</v>
      </c>
      <c r="O1838" s="5" t="s">
        <v>10</v>
      </c>
      <c r="P1838" s="1" t="s">
        <v>3367</v>
      </c>
      <c r="Q1838" s="1" t="s">
        <v>33</v>
      </c>
      <c r="R1838" s="2" t="s">
        <v>5874</v>
      </c>
      <c r="S1838" s="1" t="s">
        <v>6242</v>
      </c>
      <c r="T1838" s="1">
        <v>700</v>
      </c>
      <c r="U1838" s="1">
        <v>700</v>
      </c>
      <c r="X1838" s="1">
        <v>700</v>
      </c>
    </row>
    <row r="1839" spans="1:46" x14ac:dyDescent="0.2">
      <c r="A1839" s="1" t="s">
        <v>2552</v>
      </c>
      <c r="B1839" s="1">
        <v>21761138</v>
      </c>
      <c r="C1839" s="1" t="s">
        <v>7420</v>
      </c>
      <c r="E1839" s="21">
        <v>26</v>
      </c>
      <c r="G1839" s="1" t="s">
        <v>145</v>
      </c>
      <c r="H1839" s="1" t="s">
        <v>146</v>
      </c>
      <c r="I1839" s="5">
        <v>40739</v>
      </c>
      <c r="J1839" s="18" t="s">
        <v>11</v>
      </c>
      <c r="K1839" s="1" t="s">
        <v>595</v>
      </c>
      <c r="L1839" s="1" t="s">
        <v>2741</v>
      </c>
      <c r="N1839" s="5" t="s">
        <v>10</v>
      </c>
      <c r="O1839" s="5" t="s">
        <v>10</v>
      </c>
      <c r="P1839" s="1" t="s">
        <v>5533</v>
      </c>
      <c r="Q1839" s="1" t="s">
        <v>5534</v>
      </c>
      <c r="R1839" s="2" t="s">
        <v>4828</v>
      </c>
      <c r="S1839" s="1" t="s">
        <v>6243</v>
      </c>
      <c r="T1839" s="1">
        <v>23584</v>
      </c>
      <c r="U1839" s="1">
        <v>6322</v>
      </c>
      <c r="V1839" s="1">
        <v>6322</v>
      </c>
      <c r="AH1839" s="1">
        <v>17262</v>
      </c>
      <c r="AI1839" s="1">
        <v>17262</v>
      </c>
    </row>
    <row r="1840" spans="1:46" x14ac:dyDescent="0.2">
      <c r="A1840" s="1" t="s">
        <v>2554</v>
      </c>
      <c r="B1840" s="1">
        <v>21764829</v>
      </c>
      <c r="C1840" s="1" t="s">
        <v>7420</v>
      </c>
      <c r="E1840" s="21">
        <v>60</v>
      </c>
      <c r="G1840" s="1" t="s">
        <v>2555</v>
      </c>
      <c r="H1840" s="1" t="s">
        <v>7180</v>
      </c>
      <c r="I1840" s="5">
        <v>40739</v>
      </c>
      <c r="J1840" s="18" t="s">
        <v>11</v>
      </c>
      <c r="K1840" s="1" t="s">
        <v>103</v>
      </c>
      <c r="L1840" s="1" t="s">
        <v>2742</v>
      </c>
      <c r="N1840" s="5" t="s">
        <v>10</v>
      </c>
      <c r="O1840" s="5" t="s">
        <v>10</v>
      </c>
      <c r="P1840" s="1" t="s">
        <v>4007</v>
      </c>
      <c r="Q1840" s="1" t="s">
        <v>4008</v>
      </c>
      <c r="R1840" s="2" t="s">
        <v>4553</v>
      </c>
      <c r="S1840" s="1" t="s">
        <v>6437</v>
      </c>
      <c r="T1840" s="1">
        <v>3614</v>
      </c>
      <c r="U1840" s="1">
        <v>1683</v>
      </c>
      <c r="AG1840" s="1">
        <v>1683</v>
      </c>
      <c r="AH1840" s="1">
        <v>1931</v>
      </c>
      <c r="AT1840" s="1">
        <v>1931</v>
      </c>
    </row>
    <row r="1841" spans="1:39" x14ac:dyDescent="0.2">
      <c r="A1841" s="1" t="s">
        <v>2556</v>
      </c>
      <c r="B1841" s="1">
        <v>21768215</v>
      </c>
      <c r="C1841" s="1" t="s">
        <v>7420</v>
      </c>
      <c r="E1841" s="21">
        <v>354</v>
      </c>
      <c r="G1841" s="1" t="s">
        <v>6732</v>
      </c>
      <c r="H1841" s="1" t="s">
        <v>7328</v>
      </c>
      <c r="I1841" s="5">
        <v>40742</v>
      </c>
      <c r="J1841" s="18" t="s">
        <v>11</v>
      </c>
      <c r="K1841" s="1" t="s">
        <v>103</v>
      </c>
      <c r="L1841" s="1" t="s">
        <v>2743</v>
      </c>
      <c r="N1841" s="5" t="s">
        <v>10</v>
      </c>
      <c r="O1841" s="5" t="s">
        <v>10</v>
      </c>
      <c r="P1841" s="1" t="s">
        <v>4852</v>
      </c>
      <c r="Q1841" s="1" t="s">
        <v>4109</v>
      </c>
      <c r="R1841" s="2" t="s">
        <v>6465</v>
      </c>
      <c r="S1841" s="1" t="s">
        <v>6440</v>
      </c>
      <c r="T1841" s="1">
        <v>10647</v>
      </c>
      <c r="U1841" s="1">
        <v>8651</v>
      </c>
      <c r="W1841" s="1">
        <v>8651</v>
      </c>
      <c r="AH1841" s="1">
        <v>1996</v>
      </c>
      <c r="AJ1841" s="1">
        <v>1996</v>
      </c>
    </row>
    <row r="1842" spans="1:39" x14ac:dyDescent="0.2">
      <c r="A1842" s="1" t="s">
        <v>2577</v>
      </c>
      <c r="B1842" s="1">
        <v>21771265</v>
      </c>
      <c r="C1842" s="1" t="s">
        <v>7420</v>
      </c>
      <c r="E1842" s="21">
        <v>103</v>
      </c>
      <c r="G1842" s="1" t="s">
        <v>112</v>
      </c>
      <c r="H1842" s="1" t="s">
        <v>7145</v>
      </c>
      <c r="I1842" s="5">
        <v>40743</v>
      </c>
      <c r="J1842" s="18" t="s">
        <v>11</v>
      </c>
      <c r="K1842" s="1" t="s">
        <v>302</v>
      </c>
      <c r="L1842" s="1" t="s">
        <v>2746</v>
      </c>
      <c r="N1842" s="5" t="s">
        <v>10</v>
      </c>
      <c r="O1842" s="5" t="s">
        <v>10</v>
      </c>
      <c r="P1842" s="1" t="s">
        <v>2744</v>
      </c>
      <c r="Q1842" s="1" t="s">
        <v>2745</v>
      </c>
      <c r="R1842" s="2" t="s">
        <v>4735</v>
      </c>
      <c r="S1842" s="1" t="s">
        <v>6243</v>
      </c>
      <c r="T1842" s="1">
        <v>1014</v>
      </c>
      <c r="U1842" s="1">
        <v>564</v>
      </c>
      <c r="V1842" s="1">
        <v>564</v>
      </c>
      <c r="AH1842" s="1">
        <v>450</v>
      </c>
      <c r="AI1842" s="1">
        <v>450</v>
      </c>
    </row>
    <row r="1843" spans="1:39" x14ac:dyDescent="0.2">
      <c r="A1843" s="1" t="s">
        <v>1269</v>
      </c>
      <c r="B1843" s="1">
        <v>21771975</v>
      </c>
      <c r="C1843" s="1" t="s">
        <v>7420</v>
      </c>
      <c r="E1843" s="21">
        <v>14</v>
      </c>
      <c r="G1843" s="1" t="s">
        <v>6766</v>
      </c>
      <c r="H1843" s="1" t="s">
        <v>7200</v>
      </c>
      <c r="I1843" s="5">
        <v>40743</v>
      </c>
      <c r="J1843" s="18" t="s">
        <v>11</v>
      </c>
      <c r="K1843" s="1" t="s">
        <v>90</v>
      </c>
      <c r="L1843" s="1" t="s">
        <v>2749</v>
      </c>
      <c r="N1843" s="5" t="s">
        <v>10</v>
      </c>
      <c r="O1843" s="5" t="s">
        <v>10</v>
      </c>
      <c r="P1843" s="1" t="s">
        <v>2747</v>
      </c>
      <c r="Q1843" s="1" t="s">
        <v>2748</v>
      </c>
      <c r="R1843" s="2" t="s">
        <v>4917</v>
      </c>
      <c r="S1843" s="1" t="s">
        <v>6242</v>
      </c>
      <c r="T1843" s="1">
        <v>941</v>
      </c>
      <c r="U1843" s="1">
        <v>382</v>
      </c>
      <c r="X1843" s="1">
        <v>382</v>
      </c>
      <c r="AH1843" s="1">
        <v>559</v>
      </c>
      <c r="AK1843" s="1">
        <v>559</v>
      </c>
    </row>
    <row r="1844" spans="1:39" x14ac:dyDescent="0.2">
      <c r="A1844" s="1" t="s">
        <v>1644</v>
      </c>
      <c r="B1844" s="1">
        <v>21775533</v>
      </c>
      <c r="C1844" s="1" t="s">
        <v>7420</v>
      </c>
      <c r="E1844" s="21">
        <v>240</v>
      </c>
      <c r="G1844" s="1" t="s">
        <v>6793</v>
      </c>
      <c r="H1844" s="1" t="s">
        <v>6990</v>
      </c>
      <c r="I1844" s="5">
        <v>40744</v>
      </c>
      <c r="J1844" s="18" t="s">
        <v>11</v>
      </c>
      <c r="K1844" s="1" t="s">
        <v>2053</v>
      </c>
      <c r="L1844" s="1" t="s">
        <v>3222</v>
      </c>
      <c r="N1844" s="5" t="s">
        <v>10</v>
      </c>
      <c r="O1844" s="5" t="s">
        <v>10</v>
      </c>
      <c r="P1844" s="1" t="s">
        <v>6106</v>
      </c>
      <c r="Q1844" s="1" t="s">
        <v>5221</v>
      </c>
      <c r="R1844" s="1" t="s">
        <v>4861</v>
      </c>
      <c r="S1844" s="1" t="s">
        <v>6244</v>
      </c>
      <c r="T1844" s="1">
        <v>1466</v>
      </c>
      <c r="U1844" s="1">
        <v>283</v>
      </c>
      <c r="AD1844" s="1">
        <v>283</v>
      </c>
      <c r="AH1844" s="1">
        <v>1183</v>
      </c>
      <c r="AI1844" s="1">
        <v>1183</v>
      </c>
    </row>
    <row r="1845" spans="1:39" x14ac:dyDescent="0.2">
      <c r="A1845" s="1" t="s">
        <v>2578</v>
      </c>
      <c r="B1845" s="1">
        <v>21777205</v>
      </c>
      <c r="C1845" s="1" t="s">
        <v>7420</v>
      </c>
      <c r="E1845" s="21">
        <v>74</v>
      </c>
      <c r="G1845" s="1" t="s">
        <v>242</v>
      </c>
      <c r="H1845" s="1" t="s">
        <v>7160</v>
      </c>
      <c r="I1845" s="5">
        <v>40745</v>
      </c>
      <c r="J1845" s="18" t="s">
        <v>11</v>
      </c>
      <c r="K1845" s="1" t="s">
        <v>906</v>
      </c>
      <c r="L1845" s="1" t="s">
        <v>2978</v>
      </c>
      <c r="N1845" s="5" t="s">
        <v>10</v>
      </c>
      <c r="O1845" s="5" t="s">
        <v>10</v>
      </c>
      <c r="P1845" s="1" t="s">
        <v>3449</v>
      </c>
      <c r="Q1845" s="1" t="s">
        <v>3450</v>
      </c>
      <c r="R1845" s="2" t="s">
        <v>5009</v>
      </c>
      <c r="S1845" s="1" t="s">
        <v>6244</v>
      </c>
      <c r="T1845" s="1">
        <v>4959</v>
      </c>
      <c r="U1845" s="1">
        <v>411</v>
      </c>
      <c r="V1845" s="1">
        <v>282</v>
      </c>
      <c r="W1845" s="1">
        <v>66</v>
      </c>
      <c r="Z1845" s="1">
        <v>63</v>
      </c>
      <c r="AH1845" s="1">
        <v>4548</v>
      </c>
      <c r="AI1845" s="1">
        <v>1627</v>
      </c>
      <c r="AJ1845" s="1">
        <v>1478</v>
      </c>
      <c r="AM1845" s="1">
        <v>1443</v>
      </c>
    </row>
    <row r="1846" spans="1:39" x14ac:dyDescent="0.2">
      <c r="A1846" s="1" t="s">
        <v>162</v>
      </c>
      <c r="B1846" s="1">
        <v>21779176</v>
      </c>
      <c r="C1846" s="1" t="s">
        <v>7420</v>
      </c>
      <c r="E1846" s="21">
        <v>50</v>
      </c>
      <c r="G1846" s="1" t="s">
        <v>2560</v>
      </c>
      <c r="H1846" s="1" t="s">
        <v>160</v>
      </c>
      <c r="I1846" s="5">
        <v>40738</v>
      </c>
      <c r="J1846" s="18" t="s">
        <v>11</v>
      </c>
      <c r="K1846" s="1" t="s">
        <v>65</v>
      </c>
      <c r="L1846" s="1" t="s">
        <v>2750</v>
      </c>
      <c r="N1846" s="5" t="s">
        <v>10</v>
      </c>
      <c r="O1846" s="5" t="s">
        <v>10</v>
      </c>
      <c r="P1846" s="1" t="s">
        <v>5420</v>
      </c>
      <c r="Q1846" s="1" t="s">
        <v>5421</v>
      </c>
      <c r="R1846" s="2" t="s">
        <v>4118</v>
      </c>
      <c r="S1846" s="1" t="s">
        <v>6243</v>
      </c>
      <c r="T1846" s="1">
        <v>12137</v>
      </c>
      <c r="U1846" s="1">
        <v>2448</v>
      </c>
      <c r="V1846" s="1">
        <v>2448</v>
      </c>
      <c r="AH1846" s="1">
        <v>9689</v>
      </c>
      <c r="AI1846" s="1">
        <v>9689</v>
      </c>
    </row>
    <row r="1847" spans="1:39" x14ac:dyDescent="0.2">
      <c r="A1847" s="1" t="s">
        <v>2559</v>
      </c>
      <c r="B1847" s="1">
        <v>21779181</v>
      </c>
      <c r="C1847" s="1" t="s">
        <v>7420</v>
      </c>
      <c r="E1847" s="21">
        <v>98</v>
      </c>
      <c r="G1847" s="1" t="s">
        <v>1196</v>
      </c>
      <c r="H1847" s="1" t="s">
        <v>1197</v>
      </c>
      <c r="I1847" s="5">
        <v>40738</v>
      </c>
      <c r="J1847" s="18" t="s">
        <v>11</v>
      </c>
      <c r="K1847" s="1" t="s">
        <v>65</v>
      </c>
      <c r="L1847" s="1" t="s">
        <v>2751</v>
      </c>
      <c r="N1847" s="5" t="s">
        <v>10</v>
      </c>
      <c r="O1847" s="5" t="s">
        <v>10</v>
      </c>
      <c r="P1847" s="1" t="s">
        <v>5169</v>
      </c>
      <c r="Q1847" s="1" t="s">
        <v>5170</v>
      </c>
      <c r="R1847" s="2" t="s">
        <v>6475</v>
      </c>
      <c r="S1847" s="1" t="s">
        <v>6243</v>
      </c>
      <c r="T1847" s="1">
        <v>14853</v>
      </c>
      <c r="U1847" s="1">
        <v>7468</v>
      </c>
      <c r="V1847" s="1">
        <v>7468</v>
      </c>
      <c r="AH1847" s="1">
        <v>7385</v>
      </c>
      <c r="AI1847" s="1">
        <v>7385</v>
      </c>
    </row>
    <row r="1848" spans="1:39" x14ac:dyDescent="0.2">
      <c r="A1848" s="1" t="s">
        <v>2592</v>
      </c>
      <c r="B1848" s="1">
        <v>21779381</v>
      </c>
      <c r="C1848" s="1" t="s">
        <v>7420</v>
      </c>
      <c r="E1848" s="21">
        <v>5</v>
      </c>
      <c r="G1848" s="1" t="s">
        <v>2593</v>
      </c>
      <c r="H1848" s="1" t="s">
        <v>7183</v>
      </c>
      <c r="I1848" s="5">
        <v>40738</v>
      </c>
      <c r="J1848" s="18" t="s">
        <v>11</v>
      </c>
      <c r="K1848" s="1" t="s">
        <v>181</v>
      </c>
      <c r="L1848" s="1" t="s">
        <v>2752</v>
      </c>
      <c r="N1848" s="1" t="s">
        <v>11</v>
      </c>
      <c r="O1848" s="1" t="s">
        <v>11</v>
      </c>
      <c r="P1848" s="1" t="s">
        <v>5311</v>
      </c>
      <c r="Q1848" s="1" t="s">
        <v>33</v>
      </c>
      <c r="R1848" s="2" t="s">
        <v>4922</v>
      </c>
      <c r="S1848" s="1" t="s">
        <v>6243</v>
      </c>
      <c r="T1848" s="1">
        <v>5122</v>
      </c>
      <c r="U1848" s="1">
        <v>5122</v>
      </c>
      <c r="V1848" s="1">
        <v>5122</v>
      </c>
    </row>
    <row r="1849" spans="1:39" x14ac:dyDescent="0.2">
      <c r="A1849" s="1" t="s">
        <v>2591</v>
      </c>
      <c r="B1849" s="1">
        <v>21782286</v>
      </c>
      <c r="C1849" s="1" t="s">
        <v>7420</v>
      </c>
      <c r="E1849" s="21">
        <v>183</v>
      </c>
      <c r="G1849" s="1" t="s">
        <v>1387</v>
      </c>
      <c r="H1849" s="1" t="s">
        <v>2428</v>
      </c>
      <c r="I1849" s="5">
        <v>40744</v>
      </c>
      <c r="J1849" s="18" t="s">
        <v>11</v>
      </c>
      <c r="K1849" s="1" t="s">
        <v>1485</v>
      </c>
      <c r="L1849" s="1" t="s">
        <v>2753</v>
      </c>
      <c r="N1849" s="5" t="s">
        <v>10</v>
      </c>
      <c r="O1849" s="5" t="s">
        <v>10</v>
      </c>
      <c r="P1849" s="1" t="s">
        <v>5213</v>
      </c>
      <c r="Q1849" s="1" t="s">
        <v>5214</v>
      </c>
      <c r="R1849" s="2" t="s">
        <v>868</v>
      </c>
      <c r="S1849" s="1" t="s">
        <v>6243</v>
      </c>
      <c r="T1849" s="1">
        <v>35418</v>
      </c>
      <c r="U1849" s="1">
        <v>25007</v>
      </c>
      <c r="V1849" s="1">
        <v>25007</v>
      </c>
      <c r="AH1849" s="1">
        <v>10411</v>
      </c>
      <c r="AI1849" s="1">
        <v>10411</v>
      </c>
    </row>
    <row r="1850" spans="1:39" x14ac:dyDescent="0.2">
      <c r="A1850" s="1" t="s">
        <v>1668</v>
      </c>
      <c r="B1850" s="1">
        <v>21784300</v>
      </c>
      <c r="C1850" s="1" t="s">
        <v>7420</v>
      </c>
      <c r="E1850" s="21">
        <v>140</v>
      </c>
      <c r="G1850" s="1" t="s">
        <v>2590</v>
      </c>
      <c r="H1850" s="1" t="s">
        <v>2672</v>
      </c>
      <c r="I1850" s="5">
        <v>40737</v>
      </c>
      <c r="J1850" s="18" t="s">
        <v>11</v>
      </c>
      <c r="K1850" s="1" t="s">
        <v>1243</v>
      </c>
      <c r="L1850" s="1" t="s">
        <v>2754</v>
      </c>
      <c r="N1850" s="5" t="s">
        <v>10</v>
      </c>
      <c r="O1850" s="5" t="s">
        <v>10</v>
      </c>
      <c r="P1850" s="1" t="s">
        <v>3702</v>
      </c>
      <c r="Q1850" s="1" t="s">
        <v>33</v>
      </c>
      <c r="R1850" s="2" t="s">
        <v>4534</v>
      </c>
      <c r="S1850" s="1" t="s">
        <v>6248</v>
      </c>
      <c r="T1850" s="1">
        <v>341</v>
      </c>
      <c r="U1850" s="1">
        <v>341</v>
      </c>
      <c r="AE1850" s="1">
        <v>341</v>
      </c>
    </row>
    <row r="1851" spans="1:39" x14ac:dyDescent="0.2">
      <c r="A1851" s="1" t="s">
        <v>2645</v>
      </c>
      <c r="B1851" s="1">
        <v>21785125</v>
      </c>
      <c r="C1851" s="1" t="s">
        <v>7420</v>
      </c>
      <c r="E1851" s="21">
        <v>21</v>
      </c>
      <c r="G1851" s="1" t="s">
        <v>6718</v>
      </c>
      <c r="H1851" s="1" t="s">
        <v>7211</v>
      </c>
      <c r="I1851" s="5">
        <v>40749</v>
      </c>
      <c r="J1851" s="18" t="s">
        <v>11</v>
      </c>
      <c r="K1851" s="1" t="s">
        <v>541</v>
      </c>
      <c r="L1851" s="1" t="s">
        <v>2755</v>
      </c>
      <c r="N1851" s="5" t="s">
        <v>10</v>
      </c>
      <c r="O1851" s="5" t="s">
        <v>10</v>
      </c>
      <c r="P1851" s="1" t="s">
        <v>3759</v>
      </c>
      <c r="Q1851" s="1" t="s">
        <v>33</v>
      </c>
      <c r="R1851" s="2" t="s">
        <v>4298</v>
      </c>
      <c r="S1851" s="1" t="s">
        <v>6243</v>
      </c>
      <c r="T1851" s="1">
        <v>1657</v>
      </c>
      <c r="U1851" s="1">
        <v>1657</v>
      </c>
      <c r="V1851" s="1">
        <v>1657</v>
      </c>
    </row>
    <row r="1852" spans="1:39" x14ac:dyDescent="0.2">
      <c r="A1852" s="1" t="s">
        <v>2622</v>
      </c>
      <c r="B1852" s="1">
        <v>21787189</v>
      </c>
      <c r="C1852" s="1" t="s">
        <v>7420</v>
      </c>
      <c r="E1852" s="21">
        <v>106</v>
      </c>
      <c r="G1852" s="1" t="s">
        <v>6854</v>
      </c>
      <c r="H1852" s="1" t="s">
        <v>7091</v>
      </c>
      <c r="I1852" s="5">
        <v>40725</v>
      </c>
      <c r="J1852" s="18" t="s">
        <v>11</v>
      </c>
      <c r="K1852" s="1" t="s">
        <v>708</v>
      </c>
      <c r="L1852" s="1" t="s">
        <v>2757</v>
      </c>
      <c r="N1852" s="5" t="s">
        <v>10</v>
      </c>
      <c r="O1852" s="5" t="s">
        <v>10</v>
      </c>
      <c r="P1852" s="1" t="s">
        <v>2756</v>
      </c>
      <c r="Q1852" s="1" t="s">
        <v>33</v>
      </c>
      <c r="R1852" s="2" t="s">
        <v>6668</v>
      </c>
      <c r="S1852" s="1" t="s">
        <v>6242</v>
      </c>
      <c r="T1852" s="1">
        <v>274</v>
      </c>
      <c r="U1852" s="1">
        <v>274</v>
      </c>
      <c r="X1852" s="1">
        <v>274</v>
      </c>
    </row>
    <row r="1853" spans="1:39" x14ac:dyDescent="0.2">
      <c r="A1853" s="1" t="s">
        <v>2589</v>
      </c>
      <c r="B1853" s="1">
        <v>21789213</v>
      </c>
      <c r="C1853" s="1" t="s">
        <v>7420</v>
      </c>
      <c r="E1853" s="21">
        <v>29</v>
      </c>
      <c r="F1853" s="17">
        <v>1</v>
      </c>
      <c r="G1853" s="1" t="s">
        <v>6829</v>
      </c>
      <c r="H1853" s="1" t="s">
        <v>7347</v>
      </c>
      <c r="I1853" s="5">
        <v>40739</v>
      </c>
      <c r="J1853" s="18" t="s">
        <v>10</v>
      </c>
      <c r="K1853" s="1" t="s">
        <v>181</v>
      </c>
      <c r="L1853" s="1" t="s">
        <v>2979</v>
      </c>
      <c r="N1853" s="5" t="s">
        <v>10</v>
      </c>
      <c r="O1853" s="5" t="s">
        <v>10</v>
      </c>
      <c r="P1853" s="1" t="s">
        <v>5224</v>
      </c>
      <c r="Q1853" s="1" t="s">
        <v>5225</v>
      </c>
      <c r="R1853" s="2" t="s">
        <v>5747</v>
      </c>
      <c r="S1853" s="1" t="s">
        <v>6243</v>
      </c>
      <c r="T1853" s="1">
        <v>442</v>
      </c>
      <c r="U1853" s="1">
        <v>299</v>
      </c>
      <c r="V1853" s="1">
        <v>299</v>
      </c>
      <c r="AH1853" s="1">
        <v>143</v>
      </c>
      <c r="AI1853" s="1">
        <v>143</v>
      </c>
    </row>
    <row r="1854" spans="1:39" x14ac:dyDescent="0.2">
      <c r="A1854" s="1" t="s">
        <v>2588</v>
      </c>
      <c r="B1854" s="1">
        <v>21790008</v>
      </c>
      <c r="C1854" s="1" t="s">
        <v>7420</v>
      </c>
      <c r="E1854" s="21">
        <v>76</v>
      </c>
      <c r="G1854" s="1" t="s">
        <v>799</v>
      </c>
      <c r="H1854" s="1" t="s">
        <v>7052</v>
      </c>
      <c r="I1854" s="5">
        <v>40664</v>
      </c>
      <c r="J1854" s="18" t="s">
        <v>10</v>
      </c>
      <c r="K1854" s="1" t="s">
        <v>2980</v>
      </c>
      <c r="L1854" s="1" t="s">
        <v>2981</v>
      </c>
      <c r="M1854" s="1" t="s">
        <v>3356</v>
      </c>
      <c r="N1854" s="5" t="s">
        <v>10</v>
      </c>
      <c r="O1854" s="5" t="s">
        <v>10</v>
      </c>
      <c r="P1854" s="1" t="s">
        <v>3357</v>
      </c>
      <c r="Q1854" s="1" t="s">
        <v>33</v>
      </c>
      <c r="R1854" s="2" t="s">
        <v>5800</v>
      </c>
      <c r="S1854" s="1" t="s">
        <v>6243</v>
      </c>
      <c r="T1854" s="1">
        <v>686</v>
      </c>
      <c r="U1854" s="1">
        <v>686</v>
      </c>
      <c r="V1854" s="1">
        <v>686</v>
      </c>
    </row>
    <row r="1855" spans="1:39" x14ac:dyDescent="0.2">
      <c r="A1855" s="1" t="s">
        <v>2579</v>
      </c>
      <c r="B1855" s="1">
        <v>21791550</v>
      </c>
      <c r="C1855" s="1" t="s">
        <v>7420</v>
      </c>
      <c r="E1855" s="21">
        <v>39</v>
      </c>
      <c r="G1855" s="1" t="s">
        <v>74</v>
      </c>
      <c r="H1855" s="1" t="s">
        <v>2545</v>
      </c>
      <c r="I1855" s="5">
        <v>40750</v>
      </c>
      <c r="J1855" s="18" t="s">
        <v>10</v>
      </c>
      <c r="K1855" s="1" t="s">
        <v>103</v>
      </c>
      <c r="L1855" s="1" t="s">
        <v>2982</v>
      </c>
      <c r="N1855" s="5" t="s">
        <v>10</v>
      </c>
      <c r="O1855" s="5" t="s">
        <v>10</v>
      </c>
      <c r="P1855" s="1" t="s">
        <v>3452</v>
      </c>
      <c r="Q1855" s="1" t="s">
        <v>3453</v>
      </c>
      <c r="R1855" s="2" t="s">
        <v>6022</v>
      </c>
      <c r="S1855" s="1" t="s">
        <v>6243</v>
      </c>
      <c r="T1855" s="1">
        <v>60742</v>
      </c>
      <c r="U1855" s="1">
        <v>26982</v>
      </c>
      <c r="V1855" s="1">
        <v>26982</v>
      </c>
      <c r="AH1855" s="1">
        <v>33760</v>
      </c>
      <c r="AI1855" s="1">
        <v>33760</v>
      </c>
    </row>
    <row r="1856" spans="1:39" x14ac:dyDescent="0.2">
      <c r="A1856" s="1" t="s">
        <v>1135</v>
      </c>
      <c r="B1856" s="1">
        <v>21793837</v>
      </c>
      <c r="C1856" s="1" t="s">
        <v>7420</v>
      </c>
      <c r="D1856" s="1">
        <v>1</v>
      </c>
      <c r="E1856" s="21">
        <v>0</v>
      </c>
      <c r="G1856" s="1" t="s">
        <v>2580</v>
      </c>
      <c r="H1856" s="1" t="s">
        <v>7079</v>
      </c>
      <c r="I1856" s="5">
        <v>40751</v>
      </c>
      <c r="J1856" s="18" t="s">
        <v>10</v>
      </c>
      <c r="K1856" s="1" t="s">
        <v>215</v>
      </c>
      <c r="L1856" s="1" t="s">
        <v>2983</v>
      </c>
      <c r="N1856" s="5" t="s">
        <v>10</v>
      </c>
      <c r="O1856" s="5" t="s">
        <v>10</v>
      </c>
      <c r="P1856" s="1" t="s">
        <v>3454</v>
      </c>
      <c r="Q1856" s="1" t="s">
        <v>33</v>
      </c>
      <c r="R1856" s="2" t="s">
        <v>5919</v>
      </c>
      <c r="S1856" s="1" t="s">
        <v>6242</v>
      </c>
      <c r="T1856" s="1">
        <v>8454</v>
      </c>
      <c r="U1856" s="1">
        <v>8454</v>
      </c>
      <c r="X1856" s="1">
        <v>8454</v>
      </c>
    </row>
    <row r="1857" spans="1:39" x14ac:dyDescent="0.2">
      <c r="A1857" s="1" t="s">
        <v>2489</v>
      </c>
      <c r="B1857" s="1">
        <v>21795503</v>
      </c>
      <c r="C1857" s="1" t="s">
        <v>7420</v>
      </c>
      <c r="E1857" s="21">
        <v>22</v>
      </c>
      <c r="G1857" s="1" t="s">
        <v>74</v>
      </c>
      <c r="H1857" s="1" t="s">
        <v>2545</v>
      </c>
      <c r="I1857" s="5">
        <v>40751</v>
      </c>
      <c r="J1857" s="18" t="s">
        <v>11</v>
      </c>
      <c r="K1857" s="1" t="s">
        <v>2758</v>
      </c>
      <c r="L1857" s="1" t="s">
        <v>2759</v>
      </c>
      <c r="N1857" s="5" t="s">
        <v>10</v>
      </c>
      <c r="O1857" s="5" t="s">
        <v>10</v>
      </c>
      <c r="P1857" s="1" t="s">
        <v>3879</v>
      </c>
      <c r="Q1857" s="1" t="s">
        <v>5152</v>
      </c>
      <c r="R1857" s="2" t="s">
        <v>4736</v>
      </c>
      <c r="S1857" s="1" t="s">
        <v>6244</v>
      </c>
      <c r="T1857" s="1">
        <v>1357</v>
      </c>
      <c r="U1857" s="1">
        <v>189</v>
      </c>
      <c r="AC1857" s="1">
        <v>189</v>
      </c>
      <c r="AH1857" s="1">
        <v>1168</v>
      </c>
      <c r="AI1857" s="1">
        <v>1168</v>
      </c>
    </row>
    <row r="1858" spans="1:39" x14ac:dyDescent="0.2">
      <c r="A1858" s="1" t="s">
        <v>2586</v>
      </c>
      <c r="B1858" s="1">
        <v>21798870</v>
      </c>
      <c r="C1858" s="1" t="s">
        <v>7420</v>
      </c>
      <c r="E1858" s="21">
        <v>354</v>
      </c>
      <c r="F1858" s="17">
        <v>1</v>
      </c>
      <c r="G1858" s="1" t="s">
        <v>1792</v>
      </c>
      <c r="H1858" s="1" t="s">
        <v>7350</v>
      </c>
      <c r="I1858" s="5">
        <v>40752</v>
      </c>
      <c r="J1858" s="18" t="s">
        <v>10</v>
      </c>
      <c r="K1858" s="1" t="s">
        <v>103</v>
      </c>
      <c r="L1858" s="1" t="s">
        <v>2984</v>
      </c>
      <c r="N1858" s="5" t="s">
        <v>10</v>
      </c>
      <c r="O1858" s="5" t="s">
        <v>10</v>
      </c>
      <c r="P1858" s="1" t="s">
        <v>3330</v>
      </c>
      <c r="Q1858" s="1" t="s">
        <v>33</v>
      </c>
      <c r="R1858" s="2" t="s">
        <v>6667</v>
      </c>
      <c r="S1858" s="1" t="s">
        <v>6243</v>
      </c>
      <c r="T1858" s="1">
        <v>613</v>
      </c>
      <c r="U1858" s="1">
        <v>613</v>
      </c>
      <c r="V1858" s="1">
        <v>613</v>
      </c>
    </row>
    <row r="1859" spans="1:39" x14ac:dyDescent="0.2">
      <c r="A1859" s="1" t="s">
        <v>2587</v>
      </c>
      <c r="B1859" s="1">
        <v>21799462</v>
      </c>
      <c r="C1859" s="1" t="s">
        <v>7420</v>
      </c>
      <c r="E1859" s="21">
        <v>60</v>
      </c>
      <c r="G1859" s="1" t="s">
        <v>7076</v>
      </c>
      <c r="H1859" s="1" t="s">
        <v>7135</v>
      </c>
      <c r="I1859" s="5">
        <v>40751</v>
      </c>
      <c r="J1859" s="18" t="s">
        <v>11</v>
      </c>
      <c r="K1859" s="1" t="s">
        <v>294</v>
      </c>
      <c r="L1859" s="1" t="s">
        <v>2762</v>
      </c>
      <c r="N1859" s="5" t="s">
        <v>10</v>
      </c>
      <c r="O1859" s="5" t="s">
        <v>10</v>
      </c>
      <c r="P1859" s="1" t="s">
        <v>2760</v>
      </c>
      <c r="Q1859" s="1" t="s">
        <v>2761</v>
      </c>
      <c r="R1859" s="2" t="s">
        <v>4844</v>
      </c>
      <c r="S1859" s="1" t="s">
        <v>6242</v>
      </c>
      <c r="T1859" s="1">
        <v>318</v>
      </c>
      <c r="U1859" s="1">
        <v>270</v>
      </c>
      <c r="X1859" s="1">
        <v>270</v>
      </c>
      <c r="AH1859" s="1">
        <v>48</v>
      </c>
      <c r="AK1859" s="1">
        <v>48</v>
      </c>
    </row>
    <row r="1860" spans="1:39" x14ac:dyDescent="0.2">
      <c r="A1860" s="1" t="s">
        <v>1040</v>
      </c>
      <c r="B1860" s="1">
        <v>21799836</v>
      </c>
      <c r="C1860" s="1" t="s">
        <v>7420</v>
      </c>
      <c r="E1860" s="21">
        <v>43</v>
      </c>
      <c r="G1860" s="1" t="s">
        <v>61</v>
      </c>
      <c r="H1860" s="1" t="s">
        <v>7396</v>
      </c>
      <c r="I1860" s="5">
        <v>40746</v>
      </c>
      <c r="J1860" s="18" t="s">
        <v>11</v>
      </c>
      <c r="K1860" s="1" t="s">
        <v>181</v>
      </c>
      <c r="L1860" s="1" t="s">
        <v>2764</v>
      </c>
      <c r="N1860" s="5" t="s">
        <v>10</v>
      </c>
      <c r="O1860" s="5" t="s">
        <v>10</v>
      </c>
      <c r="P1860" s="1" t="s">
        <v>2763</v>
      </c>
      <c r="Q1860" s="1" t="s">
        <v>4499</v>
      </c>
      <c r="R1860" s="2" t="s">
        <v>4500</v>
      </c>
      <c r="S1860" s="1" t="s">
        <v>6242</v>
      </c>
      <c r="T1860" s="1">
        <v>10502</v>
      </c>
      <c r="U1860" s="1">
        <v>1599</v>
      </c>
      <c r="X1860" s="1">
        <v>1599</v>
      </c>
      <c r="AH1860" s="1">
        <v>8903</v>
      </c>
      <c r="AK1860" s="1">
        <v>8903</v>
      </c>
    </row>
    <row r="1861" spans="1:39" x14ac:dyDescent="0.2">
      <c r="A1861" s="1" t="s">
        <v>2594</v>
      </c>
      <c r="B1861" s="1">
        <v>21801394</v>
      </c>
      <c r="C1861" s="1" t="s">
        <v>7420</v>
      </c>
      <c r="E1861" s="21">
        <v>6</v>
      </c>
      <c r="G1861" s="1" t="s">
        <v>2046</v>
      </c>
      <c r="H1861" s="1" t="s">
        <v>7138</v>
      </c>
      <c r="I1861" s="5">
        <v>40753</v>
      </c>
      <c r="J1861" s="18" t="s">
        <v>11</v>
      </c>
      <c r="K1861" s="1" t="s">
        <v>2765</v>
      </c>
      <c r="L1861" s="1" t="s">
        <v>2766</v>
      </c>
      <c r="N1861" s="5" t="s">
        <v>10</v>
      </c>
      <c r="O1861" s="5" t="s">
        <v>10</v>
      </c>
      <c r="P1861" s="1" t="s">
        <v>5305</v>
      </c>
      <c r="Q1861" s="1" t="s">
        <v>33</v>
      </c>
      <c r="R1861" s="2" t="s">
        <v>4380</v>
      </c>
      <c r="S1861" s="1" t="s">
        <v>6243</v>
      </c>
      <c r="T1861" s="1">
        <v>2376</v>
      </c>
      <c r="U1861" s="1">
        <v>2376</v>
      </c>
      <c r="V1861" s="1">
        <v>2376</v>
      </c>
    </row>
    <row r="1862" spans="1:39" x14ac:dyDescent="0.2">
      <c r="A1862" s="1" t="s">
        <v>2581</v>
      </c>
      <c r="B1862" s="1">
        <v>21804547</v>
      </c>
      <c r="C1862" s="1" t="s">
        <v>7420</v>
      </c>
      <c r="E1862" s="21">
        <v>163</v>
      </c>
      <c r="G1862" s="1" t="s">
        <v>2582</v>
      </c>
      <c r="H1862" s="1" t="s">
        <v>436</v>
      </c>
      <c r="I1862" s="5">
        <v>40755</v>
      </c>
      <c r="J1862" s="18" t="s">
        <v>11</v>
      </c>
      <c r="K1862" s="1" t="s">
        <v>28</v>
      </c>
      <c r="L1862" s="1" t="s">
        <v>2767</v>
      </c>
      <c r="N1862" s="5" t="s">
        <v>10</v>
      </c>
      <c r="O1862" s="5" t="s">
        <v>10</v>
      </c>
      <c r="P1862" s="1" t="s">
        <v>5403</v>
      </c>
      <c r="Q1862" s="1" t="s">
        <v>5404</v>
      </c>
      <c r="R1862" s="2" t="s">
        <v>5031</v>
      </c>
      <c r="S1862" s="1" t="s">
        <v>6243</v>
      </c>
      <c r="T1862" s="1">
        <v>4101</v>
      </c>
      <c r="U1862" s="1">
        <v>1563</v>
      </c>
      <c r="V1862" s="1">
        <v>1563</v>
      </c>
      <c r="AH1862" s="1">
        <v>2538</v>
      </c>
      <c r="AI1862" s="1">
        <v>2538</v>
      </c>
    </row>
    <row r="1863" spans="1:39" x14ac:dyDescent="0.2">
      <c r="A1863" s="1" t="s">
        <v>2583</v>
      </c>
      <c r="B1863" s="1">
        <v>21804548</v>
      </c>
      <c r="C1863" s="1" t="s">
        <v>7420</v>
      </c>
      <c r="E1863" s="21">
        <v>354</v>
      </c>
      <c r="G1863" s="1" t="s">
        <v>799</v>
      </c>
      <c r="H1863" s="1" t="s">
        <v>7052</v>
      </c>
      <c r="I1863" s="5">
        <v>40755</v>
      </c>
      <c r="J1863" s="18" t="s">
        <v>11</v>
      </c>
      <c r="K1863" s="1" t="s">
        <v>28</v>
      </c>
      <c r="L1863" s="1" t="s">
        <v>2768</v>
      </c>
      <c r="N1863" s="5" t="s">
        <v>10</v>
      </c>
      <c r="O1863" s="5" t="s">
        <v>10</v>
      </c>
      <c r="P1863" s="1" t="s">
        <v>4333</v>
      </c>
      <c r="Q1863" s="1" t="s">
        <v>4552</v>
      </c>
      <c r="R1863" s="2" t="s">
        <v>4811</v>
      </c>
      <c r="S1863" s="1" t="s">
        <v>6242</v>
      </c>
      <c r="T1863" s="1">
        <v>35083</v>
      </c>
      <c r="U1863" s="1">
        <v>4836</v>
      </c>
      <c r="X1863" s="1">
        <v>4836</v>
      </c>
      <c r="AH1863" s="1">
        <v>30247</v>
      </c>
      <c r="AK1863" s="1">
        <v>30247</v>
      </c>
    </row>
    <row r="1864" spans="1:39" x14ac:dyDescent="0.2">
      <c r="A1864" s="1" t="s">
        <v>2584</v>
      </c>
      <c r="B1864" s="1">
        <v>21804549</v>
      </c>
      <c r="C1864" s="1" t="s">
        <v>7420</v>
      </c>
      <c r="E1864" s="21">
        <v>91</v>
      </c>
      <c r="G1864" s="1" t="s">
        <v>799</v>
      </c>
      <c r="H1864" s="1" t="s">
        <v>7052</v>
      </c>
      <c r="I1864" s="5">
        <v>40755</v>
      </c>
      <c r="J1864" s="18" t="s">
        <v>11</v>
      </c>
      <c r="K1864" s="1" t="s">
        <v>28</v>
      </c>
      <c r="L1864" s="1" t="s">
        <v>2770</v>
      </c>
      <c r="N1864" s="5" t="s">
        <v>10</v>
      </c>
      <c r="O1864" s="5" t="s">
        <v>10</v>
      </c>
      <c r="P1864" s="1" t="s">
        <v>4198</v>
      </c>
      <c r="Q1864" s="1" t="s">
        <v>4199</v>
      </c>
      <c r="R1864" s="2" t="s">
        <v>2769</v>
      </c>
      <c r="S1864" s="1" t="s">
        <v>6244</v>
      </c>
      <c r="T1864" s="1">
        <v>12561</v>
      </c>
      <c r="U1864" s="1">
        <v>5388</v>
      </c>
      <c r="V1864" s="1">
        <v>2088</v>
      </c>
      <c r="W1864" s="1">
        <v>1612</v>
      </c>
      <c r="Z1864" s="1">
        <v>1688</v>
      </c>
      <c r="AH1864" s="1">
        <v>7173</v>
      </c>
      <c r="AI1864" s="1">
        <v>2727</v>
      </c>
      <c r="AJ1864" s="1">
        <v>2147</v>
      </c>
      <c r="AM1864" s="1">
        <v>2299</v>
      </c>
    </row>
    <row r="1865" spans="1:39" x14ac:dyDescent="0.2">
      <c r="A1865" s="1" t="s">
        <v>2600</v>
      </c>
      <c r="B1865" s="1">
        <v>21810271</v>
      </c>
      <c r="C1865" s="1" t="s">
        <v>7420</v>
      </c>
      <c r="E1865" s="21">
        <v>27</v>
      </c>
      <c r="G1865" s="1" t="s">
        <v>2599</v>
      </c>
      <c r="H1865" s="1" t="s">
        <v>7202</v>
      </c>
      <c r="I1865" s="5">
        <v>40757</v>
      </c>
      <c r="J1865" s="18" t="s">
        <v>11</v>
      </c>
      <c r="K1865" s="1" t="s">
        <v>220</v>
      </c>
      <c r="L1865" s="1" t="s">
        <v>2771</v>
      </c>
      <c r="N1865" s="5" t="s">
        <v>10</v>
      </c>
      <c r="O1865" s="5" t="s">
        <v>10</v>
      </c>
      <c r="P1865" s="1" t="s">
        <v>4001</v>
      </c>
      <c r="Q1865" s="1" t="s">
        <v>33</v>
      </c>
      <c r="R1865" s="2" t="s">
        <v>4176</v>
      </c>
      <c r="S1865" s="1" t="s">
        <v>6243</v>
      </c>
      <c r="T1865" s="1">
        <v>1624</v>
      </c>
      <c r="U1865" s="1">
        <v>1624</v>
      </c>
      <c r="V1865" s="1">
        <v>1624</v>
      </c>
    </row>
    <row r="1866" spans="1:39" x14ac:dyDescent="0.2">
      <c r="A1866" s="1" t="s">
        <v>2598</v>
      </c>
      <c r="B1866" s="1">
        <v>21810643</v>
      </c>
      <c r="C1866" s="1" t="s">
        <v>7420</v>
      </c>
      <c r="E1866" s="21">
        <v>63</v>
      </c>
      <c r="G1866" s="1" t="s">
        <v>6798</v>
      </c>
      <c r="H1866" s="1" t="s">
        <v>7237</v>
      </c>
      <c r="I1866" s="5">
        <v>40756</v>
      </c>
      <c r="J1866" s="18" t="s">
        <v>11</v>
      </c>
      <c r="K1866" s="1" t="s">
        <v>361</v>
      </c>
      <c r="L1866" s="1" t="s">
        <v>2985</v>
      </c>
      <c r="N1866" s="5" t="s">
        <v>10</v>
      </c>
      <c r="O1866" s="5" t="s">
        <v>10</v>
      </c>
      <c r="P1866" s="1" t="s">
        <v>3791</v>
      </c>
      <c r="Q1866" s="1" t="s">
        <v>3792</v>
      </c>
      <c r="R1866" s="2" t="s">
        <v>4700</v>
      </c>
      <c r="S1866" s="1" t="s">
        <v>6243</v>
      </c>
      <c r="T1866" s="1">
        <v>1175</v>
      </c>
      <c r="U1866" s="1">
        <v>421</v>
      </c>
      <c r="V1866" s="1">
        <v>421</v>
      </c>
      <c r="AH1866" s="1">
        <v>754</v>
      </c>
      <c r="AI1866" s="1">
        <v>754</v>
      </c>
    </row>
    <row r="1867" spans="1:39" x14ac:dyDescent="0.2">
      <c r="A1867" s="1" t="s">
        <v>2595</v>
      </c>
      <c r="B1867" s="1">
        <v>21810746</v>
      </c>
      <c r="C1867" s="1" t="s">
        <v>7420</v>
      </c>
      <c r="E1867" s="21">
        <v>28</v>
      </c>
      <c r="G1867" s="1" t="s">
        <v>2596</v>
      </c>
      <c r="H1867" s="1" t="s">
        <v>7176</v>
      </c>
      <c r="I1867" s="5">
        <v>40770</v>
      </c>
      <c r="J1867" s="18" t="s">
        <v>11</v>
      </c>
      <c r="K1867" s="1" t="s">
        <v>2408</v>
      </c>
      <c r="L1867" s="1" t="s">
        <v>2774</v>
      </c>
      <c r="N1867" s="5" t="s">
        <v>10</v>
      </c>
      <c r="O1867" s="5" t="s">
        <v>10</v>
      </c>
      <c r="P1867" s="1" t="s">
        <v>2772</v>
      </c>
      <c r="Q1867" s="1" t="s">
        <v>2773</v>
      </c>
      <c r="R1867" s="2" t="s">
        <v>4934</v>
      </c>
      <c r="S1867" s="1" t="s">
        <v>6242</v>
      </c>
      <c r="T1867" s="1">
        <v>382</v>
      </c>
      <c r="U1867" s="1">
        <v>149</v>
      </c>
      <c r="X1867" s="1">
        <v>149</v>
      </c>
      <c r="AH1867" s="1">
        <v>233</v>
      </c>
      <c r="AK1867" s="1">
        <v>233</v>
      </c>
    </row>
    <row r="1868" spans="1:39" x14ac:dyDescent="0.2">
      <c r="A1868" s="1" t="s">
        <v>2603</v>
      </c>
      <c r="B1868" s="1">
        <v>21811574</v>
      </c>
      <c r="C1868" s="1" t="s">
        <v>7420</v>
      </c>
      <c r="E1868" s="21">
        <v>69</v>
      </c>
      <c r="G1868" s="1" t="s">
        <v>2604</v>
      </c>
      <c r="H1868" s="1" t="s">
        <v>7174</v>
      </c>
      <c r="I1868" s="5">
        <v>40745</v>
      </c>
      <c r="J1868" s="18" t="s">
        <v>11</v>
      </c>
      <c r="K1868" s="1" t="s">
        <v>181</v>
      </c>
      <c r="L1868" s="1" t="s">
        <v>2775</v>
      </c>
      <c r="N1868" s="5" t="s">
        <v>10</v>
      </c>
      <c r="O1868" s="5" t="s">
        <v>10</v>
      </c>
      <c r="P1868" s="1" t="s">
        <v>3642</v>
      </c>
      <c r="Q1868" s="1" t="s">
        <v>33</v>
      </c>
      <c r="R1868" s="2" t="s">
        <v>4881</v>
      </c>
      <c r="S1868" s="1" t="s">
        <v>6243</v>
      </c>
      <c r="T1868" s="1">
        <v>404</v>
      </c>
      <c r="U1868" s="1">
        <v>404</v>
      </c>
      <c r="V1868" s="1">
        <v>404</v>
      </c>
    </row>
    <row r="1869" spans="1:39" x14ac:dyDescent="0.2">
      <c r="A1869" s="1" t="s">
        <v>45</v>
      </c>
      <c r="B1869" s="1">
        <v>21812969</v>
      </c>
      <c r="C1869" s="1" t="s">
        <v>7420</v>
      </c>
      <c r="E1869" s="21">
        <v>85</v>
      </c>
      <c r="G1869" s="1" t="s">
        <v>19</v>
      </c>
      <c r="H1869" s="1" t="s">
        <v>7195</v>
      </c>
      <c r="I1869" s="5">
        <v>40758</v>
      </c>
      <c r="J1869" s="18" t="s">
        <v>11</v>
      </c>
      <c r="K1869" s="1" t="s">
        <v>220</v>
      </c>
      <c r="L1869" s="1" t="s">
        <v>2986</v>
      </c>
      <c r="N1869" s="5" t="s">
        <v>10</v>
      </c>
      <c r="O1869" s="5" t="s">
        <v>10</v>
      </c>
      <c r="P1869" s="1" t="s">
        <v>3050</v>
      </c>
      <c r="Q1869" s="1" t="s">
        <v>6369</v>
      </c>
      <c r="R1869" s="2" t="s">
        <v>4575</v>
      </c>
      <c r="S1869" s="1" t="s">
        <v>6243</v>
      </c>
      <c r="T1869" s="1">
        <v>4332</v>
      </c>
      <c r="U1869" s="1">
        <v>446</v>
      </c>
      <c r="V1869" s="1">
        <v>446</v>
      </c>
      <c r="AH1869" s="1">
        <v>3886</v>
      </c>
      <c r="AI1869" s="1">
        <v>3886</v>
      </c>
    </row>
    <row r="1870" spans="1:39" x14ac:dyDescent="0.2">
      <c r="A1870" s="1" t="s">
        <v>2597</v>
      </c>
      <c r="B1870" s="1">
        <v>21814517</v>
      </c>
      <c r="C1870" s="1" t="s">
        <v>7420</v>
      </c>
      <c r="E1870" s="21">
        <v>53</v>
      </c>
      <c r="G1870" s="1" t="s">
        <v>2515</v>
      </c>
      <c r="H1870" s="1" t="s">
        <v>7053</v>
      </c>
      <c r="I1870" s="5">
        <v>40745</v>
      </c>
      <c r="J1870" s="18" t="s">
        <v>11</v>
      </c>
      <c r="K1870" s="1" t="s">
        <v>65</v>
      </c>
      <c r="L1870" s="1" t="s">
        <v>2776</v>
      </c>
      <c r="N1870" s="5" t="s">
        <v>10</v>
      </c>
      <c r="O1870" s="5" t="s">
        <v>10</v>
      </c>
      <c r="P1870" s="1" t="s">
        <v>4281</v>
      </c>
      <c r="Q1870" s="1" t="s">
        <v>4119</v>
      </c>
      <c r="R1870" s="2" t="s">
        <v>5035</v>
      </c>
      <c r="S1870" s="1" t="s">
        <v>6242</v>
      </c>
      <c r="T1870" s="1">
        <v>6420</v>
      </c>
      <c r="U1870" s="1">
        <v>3314</v>
      </c>
      <c r="X1870" s="1">
        <v>3314</v>
      </c>
      <c r="AH1870" s="1">
        <v>3106</v>
      </c>
      <c r="AK1870" s="1">
        <v>3106</v>
      </c>
    </row>
    <row r="1871" spans="1:39" x14ac:dyDescent="0.2">
      <c r="A1871" s="1" t="s">
        <v>2606</v>
      </c>
      <c r="B1871" s="1">
        <v>21818250</v>
      </c>
      <c r="C1871" s="1" t="s">
        <v>7420</v>
      </c>
      <c r="E1871" s="21">
        <v>644</v>
      </c>
      <c r="G1871" s="1" t="s">
        <v>2605</v>
      </c>
      <c r="H1871" s="1" t="s">
        <v>7322</v>
      </c>
      <c r="I1871" s="5">
        <v>40751</v>
      </c>
      <c r="J1871" s="18" t="s">
        <v>10</v>
      </c>
      <c r="K1871" s="1" t="s">
        <v>181</v>
      </c>
      <c r="L1871" s="1" t="s">
        <v>2987</v>
      </c>
      <c r="N1871" s="5" t="s">
        <v>10</v>
      </c>
      <c r="O1871" s="5" t="s">
        <v>10</v>
      </c>
      <c r="P1871" s="1" t="s">
        <v>6441</v>
      </c>
      <c r="Q1871" s="1" t="s">
        <v>33</v>
      </c>
      <c r="R1871" s="2" t="s">
        <v>6028</v>
      </c>
      <c r="S1871" s="1" t="s">
        <v>6244</v>
      </c>
      <c r="T1871" s="1">
        <v>3717</v>
      </c>
      <c r="U1871" s="1">
        <v>3717</v>
      </c>
      <c r="V1871" s="1">
        <v>2566</v>
      </c>
      <c r="W1871" s="1">
        <v>1151</v>
      </c>
    </row>
    <row r="1872" spans="1:39" x14ac:dyDescent="0.2">
      <c r="A1872" s="1" t="s">
        <v>1431</v>
      </c>
      <c r="B1872" s="1">
        <v>21818773</v>
      </c>
      <c r="C1872" s="1" t="s">
        <v>7420</v>
      </c>
      <c r="D1872" s="1" t="s">
        <v>7411</v>
      </c>
      <c r="E1872" s="21">
        <v>1</v>
      </c>
      <c r="G1872" s="1" t="s">
        <v>6732</v>
      </c>
      <c r="H1872" s="1" t="s">
        <v>7328</v>
      </c>
      <c r="I1872" s="5">
        <v>40759</v>
      </c>
      <c r="J1872" s="18" t="s">
        <v>10</v>
      </c>
      <c r="K1872" s="1" t="s">
        <v>2891</v>
      </c>
      <c r="L1872" s="1" t="s">
        <v>2988</v>
      </c>
      <c r="N1872" s="5" t="s">
        <v>10</v>
      </c>
      <c r="O1872" s="5" t="s">
        <v>10</v>
      </c>
      <c r="P1872" s="1" t="s">
        <v>5377</v>
      </c>
      <c r="Q1872" s="1" t="s">
        <v>33</v>
      </c>
      <c r="R1872" s="1" t="s">
        <v>5911</v>
      </c>
      <c r="S1872" s="1" t="s">
        <v>6243</v>
      </c>
      <c r="T1872" s="1">
        <v>7386</v>
      </c>
      <c r="U1872" s="1">
        <v>7386</v>
      </c>
      <c r="V1872" s="1">
        <v>7386</v>
      </c>
    </row>
    <row r="1873" spans="1:44" x14ac:dyDescent="0.2">
      <c r="A1873" s="1" t="s">
        <v>2612</v>
      </c>
      <c r="B1873" s="1">
        <v>21824976</v>
      </c>
      <c r="C1873" s="1" t="s">
        <v>7420</v>
      </c>
      <c r="E1873" s="21">
        <v>31</v>
      </c>
      <c r="G1873" s="1" t="s">
        <v>1016</v>
      </c>
      <c r="H1873" s="1" t="s">
        <v>525</v>
      </c>
      <c r="I1873" s="5">
        <v>40763</v>
      </c>
      <c r="J1873" s="18" t="s">
        <v>11</v>
      </c>
      <c r="K1873" s="1" t="s">
        <v>103</v>
      </c>
      <c r="L1873" s="1" t="s">
        <v>2989</v>
      </c>
      <c r="N1873" s="5" t="s">
        <v>10</v>
      </c>
      <c r="O1873" s="5" t="s">
        <v>10</v>
      </c>
      <c r="P1873" s="1" t="s">
        <v>6370</v>
      </c>
      <c r="Q1873" s="1" t="s">
        <v>6288</v>
      </c>
      <c r="R1873" s="2" t="s">
        <v>4584</v>
      </c>
      <c r="S1873" s="1" t="s">
        <v>6243</v>
      </c>
      <c r="T1873" s="1">
        <v>14160</v>
      </c>
      <c r="U1873" s="1">
        <v>10577</v>
      </c>
      <c r="V1873" s="1">
        <v>10577</v>
      </c>
      <c r="AH1873" s="1">
        <v>3583</v>
      </c>
      <c r="AI1873" s="1">
        <v>3583</v>
      </c>
    </row>
    <row r="1874" spans="1:44" x14ac:dyDescent="0.2">
      <c r="A1874" s="1" t="s">
        <v>2620</v>
      </c>
      <c r="B1874" s="1">
        <v>21826061</v>
      </c>
      <c r="C1874" s="1" t="s">
        <v>7420</v>
      </c>
      <c r="E1874" s="21">
        <v>251</v>
      </c>
      <c r="G1874" s="1" t="s">
        <v>7087</v>
      </c>
      <c r="H1874" s="1" t="s">
        <v>2675</v>
      </c>
      <c r="I1874" s="5">
        <v>40764</v>
      </c>
      <c r="J1874" s="18" t="s">
        <v>11</v>
      </c>
      <c r="K1874" s="1" t="s">
        <v>71</v>
      </c>
      <c r="L1874" s="1" t="s">
        <v>2990</v>
      </c>
      <c r="N1874" s="5" t="s">
        <v>10</v>
      </c>
      <c r="O1874" s="5" t="s">
        <v>10</v>
      </c>
      <c r="P1874" s="1" t="s">
        <v>3689</v>
      </c>
      <c r="Q1874" s="1" t="s">
        <v>3690</v>
      </c>
      <c r="R1874" s="1" t="s">
        <v>6043</v>
      </c>
      <c r="S1874" s="1" t="s">
        <v>6243</v>
      </c>
      <c r="T1874" s="1">
        <v>4181</v>
      </c>
      <c r="U1874" s="1">
        <v>3511</v>
      </c>
      <c r="V1874" s="1">
        <v>3511</v>
      </c>
      <c r="AH1874" s="1">
        <v>670</v>
      </c>
      <c r="AI1874" s="1">
        <v>670</v>
      </c>
    </row>
    <row r="1875" spans="1:44" x14ac:dyDescent="0.2">
      <c r="A1875" s="1" t="s">
        <v>1088</v>
      </c>
      <c r="B1875" s="1">
        <v>21826085</v>
      </c>
      <c r="C1875" s="1" t="s">
        <v>7420</v>
      </c>
      <c r="E1875" s="21">
        <v>14</v>
      </c>
      <c r="G1875" s="1" t="s">
        <v>7105</v>
      </c>
      <c r="H1875" s="1" t="s">
        <v>7413</v>
      </c>
      <c r="I1875" s="5">
        <v>40764</v>
      </c>
      <c r="J1875" s="18" t="s">
        <v>11</v>
      </c>
      <c r="K1875" s="15" t="s">
        <v>113</v>
      </c>
      <c r="L1875" s="15" t="s">
        <v>6506</v>
      </c>
      <c r="N1875" s="5" t="s">
        <v>10</v>
      </c>
      <c r="O1875" s="5" t="s">
        <v>10</v>
      </c>
      <c r="P1875" s="1" t="s">
        <v>3135</v>
      </c>
      <c r="Q1875" s="1" t="s">
        <v>6080</v>
      </c>
      <c r="R1875" s="2" t="s">
        <v>4761</v>
      </c>
      <c r="S1875" s="1" t="s">
        <v>6242</v>
      </c>
      <c r="T1875" s="1">
        <v>296</v>
      </c>
      <c r="U1875" s="1">
        <v>122</v>
      </c>
      <c r="X1875" s="1">
        <v>122</v>
      </c>
      <c r="AH1875" s="1">
        <v>174</v>
      </c>
      <c r="AK1875" s="1">
        <v>174</v>
      </c>
    </row>
    <row r="1876" spans="1:44" x14ac:dyDescent="0.2">
      <c r="A1876" s="1" t="s">
        <v>2619</v>
      </c>
      <c r="B1876" s="1">
        <v>21826682</v>
      </c>
      <c r="C1876" s="1" t="s">
        <v>7420</v>
      </c>
      <c r="E1876" s="21">
        <v>166</v>
      </c>
      <c r="G1876" s="1" t="s">
        <v>481</v>
      </c>
      <c r="H1876" s="1" t="s">
        <v>7159</v>
      </c>
      <c r="I1876" s="5">
        <v>40633</v>
      </c>
      <c r="J1876" s="18" t="s">
        <v>11</v>
      </c>
      <c r="K1876" s="1" t="s">
        <v>2991</v>
      </c>
      <c r="L1876" s="1" t="s">
        <v>3223</v>
      </c>
      <c r="N1876" s="5" t="s">
        <v>10</v>
      </c>
      <c r="O1876" s="5" t="s">
        <v>10</v>
      </c>
      <c r="P1876" s="1" t="s">
        <v>5266</v>
      </c>
      <c r="Q1876" s="1" t="s">
        <v>5267</v>
      </c>
      <c r="R1876" s="1" t="s">
        <v>6446</v>
      </c>
      <c r="S1876" s="1" t="s">
        <v>6243</v>
      </c>
      <c r="T1876" s="1">
        <v>188</v>
      </c>
      <c r="U1876" s="1">
        <v>79</v>
      </c>
      <c r="V1876" s="1">
        <v>79</v>
      </c>
      <c r="AH1876" s="1">
        <v>109</v>
      </c>
      <c r="AI1876" s="1">
        <v>109</v>
      </c>
    </row>
    <row r="1877" spans="1:44" x14ac:dyDescent="0.2">
      <c r="A1877" s="1" t="s">
        <v>227</v>
      </c>
      <c r="B1877" s="1">
        <v>21827660</v>
      </c>
      <c r="C1877" s="1" t="s">
        <v>7420</v>
      </c>
      <c r="E1877" s="21">
        <v>52</v>
      </c>
      <c r="G1877" s="1" t="s">
        <v>981</v>
      </c>
      <c r="H1877" s="1" t="s">
        <v>436</v>
      </c>
      <c r="I1877" s="5">
        <v>40764</v>
      </c>
      <c r="J1877" s="18" t="s">
        <v>11</v>
      </c>
      <c r="K1877" s="1" t="s">
        <v>538</v>
      </c>
      <c r="L1877" s="1" t="s">
        <v>2992</v>
      </c>
      <c r="N1877" s="5" t="s">
        <v>10</v>
      </c>
      <c r="O1877" s="5" t="s">
        <v>10</v>
      </c>
      <c r="P1877" s="1" t="s">
        <v>3766</v>
      </c>
      <c r="Q1877" s="1" t="s">
        <v>3767</v>
      </c>
      <c r="R1877" s="1" t="s">
        <v>6039</v>
      </c>
      <c r="S1877" s="1" t="s">
        <v>6243</v>
      </c>
      <c r="T1877" s="1">
        <v>6169</v>
      </c>
      <c r="U1877" s="1">
        <v>1485</v>
      </c>
      <c r="V1877" s="1">
        <v>1485</v>
      </c>
      <c r="AH1877" s="1">
        <v>4684</v>
      </c>
      <c r="AI1877" s="1">
        <v>4684</v>
      </c>
    </row>
    <row r="1878" spans="1:44" x14ac:dyDescent="0.2">
      <c r="A1878" s="1" t="s">
        <v>2040</v>
      </c>
      <c r="B1878" s="1">
        <v>21828061</v>
      </c>
      <c r="C1878" s="1" t="s">
        <v>7420</v>
      </c>
      <c r="E1878" s="21">
        <v>14</v>
      </c>
      <c r="G1878" s="1" t="s">
        <v>6859</v>
      </c>
      <c r="H1878" s="1" t="s">
        <v>7242</v>
      </c>
      <c r="I1878" s="5">
        <v>40764</v>
      </c>
      <c r="J1878" s="18" t="s">
        <v>10</v>
      </c>
      <c r="K1878" s="1" t="s">
        <v>1881</v>
      </c>
      <c r="L1878" s="1" t="s">
        <v>2993</v>
      </c>
      <c r="N1878" s="5" t="s">
        <v>10</v>
      </c>
      <c r="O1878" s="5" t="s">
        <v>10</v>
      </c>
      <c r="P1878" s="1" t="s">
        <v>3654</v>
      </c>
      <c r="Q1878" s="1" t="s">
        <v>3655</v>
      </c>
      <c r="R1878" s="1" t="s">
        <v>4308</v>
      </c>
      <c r="S1878" s="1" t="s">
        <v>6242</v>
      </c>
      <c r="T1878" s="1">
        <v>9634</v>
      </c>
      <c r="U1878" s="1">
        <v>8830</v>
      </c>
      <c r="X1878" s="1">
        <v>8830</v>
      </c>
      <c r="AH1878" s="1">
        <v>804</v>
      </c>
      <c r="AK1878" s="1">
        <v>804</v>
      </c>
    </row>
    <row r="1879" spans="1:44" x14ac:dyDescent="0.2">
      <c r="A1879" s="1" t="s">
        <v>2585</v>
      </c>
      <c r="B1879" s="1">
        <v>21829377</v>
      </c>
      <c r="C1879" s="1" t="s">
        <v>7420</v>
      </c>
      <c r="E1879" s="21">
        <v>683</v>
      </c>
      <c r="G1879" s="1" t="s">
        <v>6906</v>
      </c>
      <c r="H1879" s="1" t="s">
        <v>7202</v>
      </c>
      <c r="I1879" s="5">
        <v>40752</v>
      </c>
      <c r="J1879" s="18" t="s">
        <v>11</v>
      </c>
      <c r="K1879" s="1" t="s">
        <v>65</v>
      </c>
      <c r="L1879" s="1" t="s">
        <v>2777</v>
      </c>
      <c r="N1879" s="5" t="s">
        <v>10</v>
      </c>
      <c r="O1879" s="5" t="s">
        <v>10</v>
      </c>
      <c r="P1879" s="1" t="s">
        <v>5399</v>
      </c>
      <c r="Q1879" s="1" t="s">
        <v>33</v>
      </c>
      <c r="R1879" s="2" t="s">
        <v>1277</v>
      </c>
      <c r="S1879" s="1" t="s">
        <v>6243</v>
      </c>
      <c r="T1879" s="1">
        <v>8866</v>
      </c>
      <c r="U1879" s="1">
        <v>8866</v>
      </c>
      <c r="V1879" s="1">
        <v>8866</v>
      </c>
    </row>
    <row r="1880" spans="1:44" x14ac:dyDescent="0.2">
      <c r="A1880" s="1" t="s">
        <v>2613</v>
      </c>
      <c r="B1880" s="1">
        <v>21829388</v>
      </c>
      <c r="C1880" s="1" t="s">
        <v>7420</v>
      </c>
      <c r="E1880" s="21">
        <v>74926</v>
      </c>
      <c r="F1880" s="17">
        <v>1</v>
      </c>
      <c r="G1880" s="1" t="s">
        <v>1792</v>
      </c>
      <c r="H1880" s="1" t="s">
        <v>7350</v>
      </c>
      <c r="I1880" s="5">
        <v>40759</v>
      </c>
      <c r="J1880" s="18" t="s">
        <v>10</v>
      </c>
      <c r="K1880" s="1" t="s">
        <v>65</v>
      </c>
      <c r="L1880" s="1" t="s">
        <v>2994</v>
      </c>
      <c r="N1880" s="5" t="s">
        <v>10</v>
      </c>
      <c r="O1880" s="5" t="s">
        <v>10</v>
      </c>
      <c r="P1880" s="9" t="s">
        <v>3332</v>
      </c>
      <c r="Q1880" s="1" t="s">
        <v>6650</v>
      </c>
      <c r="R1880" s="10" t="s">
        <v>5698</v>
      </c>
      <c r="S1880" s="1" t="s">
        <v>6243</v>
      </c>
      <c r="T1880" s="1">
        <v>3255</v>
      </c>
      <c r="U1880" s="1">
        <v>1469</v>
      </c>
      <c r="V1880" s="1">
        <v>1469</v>
      </c>
      <c r="AH1880" s="1">
        <v>1786</v>
      </c>
      <c r="AI1880" s="1">
        <v>1786</v>
      </c>
    </row>
    <row r="1881" spans="1:44" x14ac:dyDescent="0.2">
      <c r="A1881" s="1" t="s">
        <v>1324</v>
      </c>
      <c r="B1881" s="1">
        <v>21829389</v>
      </c>
      <c r="C1881" s="1" t="s">
        <v>7420</v>
      </c>
      <c r="E1881" s="21">
        <v>5</v>
      </c>
      <c r="G1881" s="1" t="s">
        <v>6745</v>
      </c>
      <c r="H1881" s="1" t="s">
        <v>7185</v>
      </c>
      <c r="I1881" s="5">
        <v>40759</v>
      </c>
      <c r="J1881" s="18" t="s">
        <v>11</v>
      </c>
      <c r="K1881" s="1" t="s">
        <v>65</v>
      </c>
      <c r="L1881" s="1" t="s">
        <v>2778</v>
      </c>
      <c r="N1881" s="5" t="s">
        <v>10</v>
      </c>
      <c r="O1881" s="5" t="s">
        <v>10</v>
      </c>
      <c r="P1881" s="1" t="s">
        <v>4231</v>
      </c>
      <c r="Q1881" s="1" t="s">
        <v>4749</v>
      </c>
      <c r="R1881" s="2" t="s">
        <v>5948</v>
      </c>
      <c r="S1881" s="1" t="s">
        <v>6440</v>
      </c>
      <c r="T1881" s="1">
        <v>11060</v>
      </c>
      <c r="U1881" s="1">
        <v>2905</v>
      </c>
      <c r="W1881" s="1">
        <v>2905</v>
      </c>
      <c r="AH1881" s="1">
        <v>8155</v>
      </c>
      <c r="AJ1881" s="1">
        <v>8155</v>
      </c>
    </row>
    <row r="1882" spans="1:44" x14ac:dyDescent="0.2">
      <c r="A1882" s="1" t="s">
        <v>2621</v>
      </c>
      <c r="B1882" s="1">
        <v>21829393</v>
      </c>
      <c r="C1882" s="1" t="s">
        <v>7420</v>
      </c>
      <c r="E1882" s="21">
        <v>89</v>
      </c>
      <c r="G1882" s="1" t="s">
        <v>7061</v>
      </c>
      <c r="H1882" s="1" t="s">
        <v>7378</v>
      </c>
      <c r="I1882" s="5">
        <v>40759</v>
      </c>
      <c r="J1882" s="18" t="s">
        <v>11</v>
      </c>
      <c r="K1882" s="1" t="s">
        <v>65</v>
      </c>
      <c r="L1882" s="1" t="s">
        <v>3224</v>
      </c>
      <c r="N1882" s="5" t="s">
        <v>10</v>
      </c>
      <c r="O1882" s="5" t="s">
        <v>10</v>
      </c>
      <c r="P1882" s="1" t="s">
        <v>5117</v>
      </c>
      <c r="Q1882" s="1" t="s">
        <v>6077</v>
      </c>
      <c r="R1882" s="1" t="s">
        <v>6470</v>
      </c>
      <c r="S1882" s="1" t="s">
        <v>6244</v>
      </c>
      <c r="T1882" s="1">
        <v>22174</v>
      </c>
      <c r="U1882" s="1">
        <v>12501</v>
      </c>
      <c r="V1882" s="1">
        <v>12501</v>
      </c>
      <c r="AH1882" s="1">
        <v>9673</v>
      </c>
      <c r="AI1882" s="1">
        <v>8603</v>
      </c>
      <c r="AK1882" s="1">
        <v>474</v>
      </c>
      <c r="AR1882" s="1">
        <v>596</v>
      </c>
    </row>
    <row r="1883" spans="1:44" x14ac:dyDescent="0.2">
      <c r="A1883" s="1" t="s">
        <v>2625</v>
      </c>
      <c r="B1883" s="1">
        <v>21833088</v>
      </c>
      <c r="C1883" s="1" t="s">
        <v>7420</v>
      </c>
      <c r="E1883" s="21">
        <v>153</v>
      </c>
      <c r="G1883" s="1" t="s">
        <v>175</v>
      </c>
      <c r="H1883" s="1" t="s">
        <v>7402</v>
      </c>
      <c r="I1883" s="5">
        <v>40765</v>
      </c>
      <c r="J1883" s="18" t="s">
        <v>11</v>
      </c>
      <c r="K1883" s="1" t="s">
        <v>58</v>
      </c>
      <c r="L1883" s="1" t="s">
        <v>2995</v>
      </c>
      <c r="N1883" s="5" t="s">
        <v>10</v>
      </c>
      <c r="O1883" s="5" t="s">
        <v>10</v>
      </c>
      <c r="P1883" s="1" t="s">
        <v>5581</v>
      </c>
      <c r="Q1883" s="1" t="s">
        <v>6371</v>
      </c>
      <c r="R1883" s="2" t="s">
        <v>6011</v>
      </c>
      <c r="S1883" s="1" t="s">
        <v>6389</v>
      </c>
      <c r="T1883" s="1">
        <v>38662</v>
      </c>
      <c r="U1883" s="1">
        <v>27148</v>
      </c>
      <c r="V1883" s="1">
        <v>27148</v>
      </c>
      <c r="AH1883" s="1">
        <v>11514</v>
      </c>
      <c r="AR1883" s="1">
        <v>11514</v>
      </c>
    </row>
    <row r="1884" spans="1:44" x14ac:dyDescent="0.2">
      <c r="A1884" s="1" t="s">
        <v>2624</v>
      </c>
      <c r="B1884" s="1">
        <v>21835309</v>
      </c>
      <c r="C1884" s="1" t="s">
        <v>7420</v>
      </c>
      <c r="E1884" s="21">
        <v>411</v>
      </c>
      <c r="G1884" s="1" t="s">
        <v>6851</v>
      </c>
      <c r="H1884" s="1" t="s">
        <v>7248</v>
      </c>
      <c r="I1884" s="5">
        <v>40767</v>
      </c>
      <c r="J1884" s="18" t="s">
        <v>11</v>
      </c>
      <c r="K1884" s="1" t="s">
        <v>16</v>
      </c>
      <c r="L1884" s="1" t="s">
        <v>2996</v>
      </c>
      <c r="N1884" s="5" t="s">
        <v>10</v>
      </c>
      <c r="O1884" s="5" t="s">
        <v>10</v>
      </c>
      <c r="P1884" s="1" t="s">
        <v>6289</v>
      </c>
      <c r="Q1884" s="1" t="s">
        <v>6372</v>
      </c>
      <c r="R1884" s="1" t="s">
        <v>6033</v>
      </c>
      <c r="S1884" s="1" t="s">
        <v>6243</v>
      </c>
      <c r="T1884" s="1">
        <v>2693</v>
      </c>
      <c r="U1884" s="1">
        <v>2121</v>
      </c>
      <c r="V1884" s="1">
        <v>2121</v>
      </c>
      <c r="AH1884" s="1">
        <v>572</v>
      </c>
      <c r="AI1884" s="1">
        <v>572</v>
      </c>
    </row>
    <row r="1885" spans="1:44" x14ac:dyDescent="0.2">
      <c r="A1885" s="1" t="s">
        <v>2626</v>
      </c>
      <c r="B1885" s="1">
        <v>21836138</v>
      </c>
      <c r="C1885" s="1" t="s">
        <v>7420</v>
      </c>
      <c r="E1885" s="21">
        <v>9</v>
      </c>
      <c r="G1885" s="1" t="s">
        <v>2627</v>
      </c>
      <c r="H1885" s="1" t="s">
        <v>2673</v>
      </c>
      <c r="I1885" s="5">
        <v>40766</v>
      </c>
      <c r="J1885" s="18" t="s">
        <v>11</v>
      </c>
      <c r="K1885" s="1" t="s">
        <v>1637</v>
      </c>
      <c r="L1885" s="1" t="s">
        <v>3225</v>
      </c>
      <c r="N1885" s="5" t="s">
        <v>10</v>
      </c>
      <c r="O1885" s="5" t="s">
        <v>10</v>
      </c>
      <c r="P1885" s="1" t="s">
        <v>6160</v>
      </c>
      <c r="Q1885" s="1" t="s">
        <v>6161</v>
      </c>
      <c r="R1885" s="1" t="s">
        <v>5006</v>
      </c>
      <c r="S1885" s="1" t="s">
        <v>6244</v>
      </c>
      <c r="T1885" s="1">
        <v>415</v>
      </c>
      <c r="U1885" s="1">
        <v>203</v>
      </c>
      <c r="V1885" s="1">
        <v>96</v>
      </c>
      <c r="W1885" s="1">
        <v>107</v>
      </c>
      <c r="AH1885" s="1">
        <v>212</v>
      </c>
      <c r="AI1885" s="1">
        <v>142</v>
      </c>
      <c r="AJ1885" s="1">
        <v>47</v>
      </c>
      <c r="AQ1885" s="1">
        <v>23</v>
      </c>
    </row>
    <row r="1886" spans="1:44" x14ac:dyDescent="0.2">
      <c r="A1886" s="1" t="s">
        <v>2628</v>
      </c>
      <c r="B1886" s="1">
        <v>21841780</v>
      </c>
      <c r="C1886" s="1" t="s">
        <v>7420</v>
      </c>
      <c r="E1886" s="21">
        <v>409</v>
      </c>
      <c r="G1886" s="1" t="s">
        <v>2629</v>
      </c>
      <c r="H1886" s="1" t="s">
        <v>2678</v>
      </c>
      <c r="I1886" s="5">
        <v>40769</v>
      </c>
      <c r="J1886" s="18" t="s">
        <v>11</v>
      </c>
      <c r="K1886" s="1" t="s">
        <v>28</v>
      </c>
      <c r="L1886" s="1" t="s">
        <v>2997</v>
      </c>
      <c r="N1886" s="5" t="s">
        <v>10</v>
      </c>
      <c r="O1886" s="5" t="s">
        <v>10</v>
      </c>
      <c r="P1886" s="1" t="s">
        <v>6290</v>
      </c>
      <c r="Q1886" s="1" t="s">
        <v>6291</v>
      </c>
      <c r="R1886" s="2" t="s">
        <v>4643</v>
      </c>
      <c r="S1886" s="1" t="s">
        <v>6242</v>
      </c>
      <c r="T1886" s="1">
        <v>10488</v>
      </c>
      <c r="U1886" s="1">
        <v>2984</v>
      </c>
      <c r="X1886" s="1">
        <v>2984</v>
      </c>
      <c r="AH1886" s="1">
        <v>7504</v>
      </c>
      <c r="AK1886" s="1">
        <v>7504</v>
      </c>
    </row>
    <row r="1887" spans="1:44" x14ac:dyDescent="0.2">
      <c r="A1887" s="1" t="s">
        <v>2181</v>
      </c>
      <c r="B1887" s="1">
        <v>21844665</v>
      </c>
      <c r="C1887" s="1" t="s">
        <v>7420</v>
      </c>
      <c r="E1887" s="21">
        <v>28</v>
      </c>
      <c r="G1887" s="1" t="s">
        <v>48</v>
      </c>
      <c r="H1887" s="1" t="s">
        <v>7340</v>
      </c>
      <c r="I1887" s="5">
        <v>40771</v>
      </c>
      <c r="J1887" s="18" t="s">
        <v>11</v>
      </c>
      <c r="K1887" s="1" t="s">
        <v>2998</v>
      </c>
      <c r="L1887" s="1" t="s">
        <v>3228</v>
      </c>
      <c r="N1887" s="5" t="s">
        <v>10</v>
      </c>
      <c r="O1887" s="5" t="s">
        <v>10</v>
      </c>
      <c r="P1887" s="1" t="s">
        <v>3226</v>
      </c>
      <c r="Q1887" s="1" t="s">
        <v>3227</v>
      </c>
      <c r="R1887" s="1" t="s">
        <v>4980</v>
      </c>
      <c r="S1887" s="1" t="s">
        <v>6242</v>
      </c>
      <c r="T1887" s="1">
        <v>1989</v>
      </c>
      <c r="U1887" s="1">
        <v>700</v>
      </c>
      <c r="X1887" s="1">
        <v>700</v>
      </c>
      <c r="AH1887" s="1">
        <v>1289</v>
      </c>
      <c r="AK1887" s="1">
        <v>1289</v>
      </c>
    </row>
    <row r="1888" spans="1:44" x14ac:dyDescent="0.2">
      <c r="A1888" s="1" t="s">
        <v>2548</v>
      </c>
      <c r="B1888" s="1">
        <v>21844884</v>
      </c>
      <c r="C1888" s="1" t="s">
        <v>7420</v>
      </c>
      <c r="E1888" s="21">
        <v>658</v>
      </c>
      <c r="G1888" s="1" t="s">
        <v>6991</v>
      </c>
      <c r="H1888" s="1" t="s">
        <v>6990</v>
      </c>
      <c r="I1888" s="5">
        <v>40771</v>
      </c>
      <c r="J1888" s="18" t="s">
        <v>10</v>
      </c>
      <c r="K1888" s="1" t="s">
        <v>113</v>
      </c>
      <c r="L1888" s="1" t="s">
        <v>2999</v>
      </c>
      <c r="N1888" s="5" t="s">
        <v>10</v>
      </c>
      <c r="O1888" s="5" t="s">
        <v>10</v>
      </c>
      <c r="P1888" s="1" t="s">
        <v>5476</v>
      </c>
      <c r="Q1888" s="1" t="s">
        <v>33</v>
      </c>
      <c r="R1888" s="2" t="s">
        <v>3362</v>
      </c>
      <c r="S1888" s="1" t="s">
        <v>6244</v>
      </c>
      <c r="T1888" s="1">
        <v>608</v>
      </c>
      <c r="U1888" s="1">
        <v>608</v>
      </c>
      <c r="V1888" s="1">
        <v>174</v>
      </c>
      <c r="W1888" s="1">
        <v>259</v>
      </c>
      <c r="X1888" s="1">
        <v>175</v>
      </c>
    </row>
    <row r="1889" spans="1:38" x14ac:dyDescent="0.2">
      <c r="A1889" s="1" t="s">
        <v>2643</v>
      </c>
      <c r="B1889" s="1">
        <v>21846873</v>
      </c>
      <c r="C1889" s="1" t="s">
        <v>7420</v>
      </c>
      <c r="E1889" s="21">
        <v>143</v>
      </c>
      <c r="G1889" s="1" t="s">
        <v>991</v>
      </c>
      <c r="H1889" s="1" t="s">
        <v>7167</v>
      </c>
      <c r="I1889" s="5">
        <v>40771</v>
      </c>
      <c r="J1889" s="18" t="s">
        <v>10</v>
      </c>
      <c r="K1889" s="1" t="s">
        <v>551</v>
      </c>
      <c r="L1889" s="1" t="s">
        <v>3000</v>
      </c>
      <c r="N1889" s="5" t="s">
        <v>10</v>
      </c>
      <c r="O1889" s="5" t="s">
        <v>10</v>
      </c>
      <c r="P1889" s="1" t="s">
        <v>5465</v>
      </c>
      <c r="Q1889" s="1" t="s">
        <v>6425</v>
      </c>
      <c r="R1889" s="6" t="s">
        <v>5679</v>
      </c>
      <c r="S1889" s="1" t="s">
        <v>6244</v>
      </c>
      <c r="T1889" s="1">
        <v>42694</v>
      </c>
      <c r="U1889" s="1">
        <v>22186</v>
      </c>
      <c r="V1889" s="1">
        <v>18524</v>
      </c>
      <c r="W1889" s="1">
        <v>3662</v>
      </c>
      <c r="AH1889" s="1">
        <v>20508</v>
      </c>
      <c r="AI1889" s="1">
        <v>20508</v>
      </c>
    </row>
    <row r="1890" spans="1:38" x14ac:dyDescent="0.2">
      <c r="A1890" s="1" t="s">
        <v>2644</v>
      </c>
      <c r="B1890" s="1">
        <v>21849791</v>
      </c>
      <c r="C1890" s="1" t="s">
        <v>7420</v>
      </c>
      <c r="E1890" s="21">
        <v>9</v>
      </c>
      <c r="G1890" s="1" t="s">
        <v>1012</v>
      </c>
      <c r="H1890" s="1" t="s">
        <v>7415</v>
      </c>
      <c r="I1890" s="5">
        <v>40772</v>
      </c>
      <c r="J1890" s="18" t="s">
        <v>10</v>
      </c>
      <c r="K1890" s="1" t="s">
        <v>3001</v>
      </c>
      <c r="L1890" s="1" t="s">
        <v>3002</v>
      </c>
      <c r="N1890" s="5" t="s">
        <v>10</v>
      </c>
      <c r="O1890" s="5" t="s">
        <v>10</v>
      </c>
      <c r="P1890" s="1" t="s">
        <v>3829</v>
      </c>
      <c r="Q1890" s="1" t="s">
        <v>6660</v>
      </c>
      <c r="R1890" s="2" t="s">
        <v>6037</v>
      </c>
      <c r="S1890" s="1" t="s">
        <v>6243</v>
      </c>
      <c r="T1890" s="1">
        <v>6144</v>
      </c>
      <c r="U1890" s="1">
        <v>465</v>
      </c>
      <c r="V1890" s="1">
        <v>465</v>
      </c>
      <c r="AH1890" s="1">
        <v>5679</v>
      </c>
      <c r="AI1890" s="1">
        <v>5679</v>
      </c>
    </row>
    <row r="1891" spans="1:38" x14ac:dyDescent="0.2">
      <c r="A1891" s="1" t="s">
        <v>2642</v>
      </c>
      <c r="B1891" s="1">
        <v>21852955</v>
      </c>
      <c r="C1891" s="1" t="s">
        <v>7420</v>
      </c>
      <c r="E1891" s="21">
        <v>9</v>
      </c>
      <c r="F1891" s="17">
        <v>1</v>
      </c>
      <c r="G1891" s="1" t="s">
        <v>6870</v>
      </c>
      <c r="H1891" s="1" t="s">
        <v>7294</v>
      </c>
      <c r="I1891" s="5">
        <v>40766</v>
      </c>
      <c r="J1891" s="18" t="s">
        <v>10</v>
      </c>
      <c r="K1891" s="1" t="s">
        <v>65</v>
      </c>
      <c r="L1891" s="1" t="s">
        <v>3003</v>
      </c>
      <c r="N1891" s="1" t="s">
        <v>11</v>
      </c>
      <c r="O1891" s="1" t="s">
        <v>10</v>
      </c>
      <c r="P1891" s="1" t="s">
        <v>5147</v>
      </c>
      <c r="Q1891" s="1" t="s">
        <v>3375</v>
      </c>
      <c r="R1891" s="2" t="s">
        <v>5985</v>
      </c>
      <c r="S1891" s="1" t="s">
        <v>6243</v>
      </c>
      <c r="T1891" s="1">
        <v>3343</v>
      </c>
      <c r="U1891" s="1">
        <v>1797</v>
      </c>
      <c r="V1891" s="1">
        <v>1797</v>
      </c>
      <c r="AH1891" s="1">
        <v>1546</v>
      </c>
      <c r="AI1891" s="1">
        <v>1546</v>
      </c>
    </row>
    <row r="1892" spans="1:38" x14ac:dyDescent="0.2">
      <c r="A1892" s="1" t="s">
        <v>1116</v>
      </c>
      <c r="B1892" s="1">
        <v>21862451</v>
      </c>
      <c r="C1892" s="1" t="s">
        <v>7420</v>
      </c>
      <c r="E1892" s="21">
        <v>519</v>
      </c>
      <c r="G1892" s="1" t="s">
        <v>6777</v>
      </c>
      <c r="H1892" s="1" t="s">
        <v>7238</v>
      </c>
      <c r="I1892" s="5">
        <v>40778</v>
      </c>
      <c r="J1892" s="18" t="s">
        <v>11</v>
      </c>
      <c r="K1892" s="1" t="s">
        <v>103</v>
      </c>
      <c r="L1892" s="1" t="s">
        <v>3004</v>
      </c>
      <c r="N1892" s="5" t="s">
        <v>10</v>
      </c>
      <c r="O1892" s="5" t="s">
        <v>10</v>
      </c>
      <c r="P1892" s="1" t="s">
        <v>3541</v>
      </c>
      <c r="Q1892" s="1" t="s">
        <v>3542</v>
      </c>
      <c r="R1892" s="2" t="s">
        <v>6458</v>
      </c>
      <c r="S1892" s="1" t="s">
        <v>6243</v>
      </c>
      <c r="T1892" s="1">
        <v>8791</v>
      </c>
      <c r="U1892" s="1">
        <v>6879</v>
      </c>
      <c r="V1892" s="1">
        <v>6879</v>
      </c>
      <c r="AH1892" s="1">
        <v>1912</v>
      </c>
      <c r="AI1892" s="1">
        <v>1912</v>
      </c>
    </row>
    <row r="1893" spans="1:38" x14ac:dyDescent="0.2">
      <c r="A1893" s="1" t="s">
        <v>1064</v>
      </c>
      <c r="B1893" s="1">
        <v>21863005</v>
      </c>
      <c r="C1893" s="1" t="s">
        <v>7420</v>
      </c>
      <c r="E1893" s="21">
        <v>39</v>
      </c>
      <c r="G1893" s="1" t="s">
        <v>6721</v>
      </c>
      <c r="H1893" s="1" t="s">
        <v>7200</v>
      </c>
      <c r="I1893" s="5">
        <v>40778</v>
      </c>
      <c r="J1893" s="18" t="s">
        <v>10</v>
      </c>
      <c r="K1893" s="1" t="s">
        <v>2289</v>
      </c>
      <c r="L1893" s="1" t="s">
        <v>3005</v>
      </c>
      <c r="N1893" s="5" t="s">
        <v>10</v>
      </c>
      <c r="O1893" s="5" t="s">
        <v>10</v>
      </c>
      <c r="P1893" s="1" t="s">
        <v>3451</v>
      </c>
      <c r="Q1893" s="1" t="s">
        <v>33</v>
      </c>
      <c r="R1893" s="2" t="s">
        <v>5032</v>
      </c>
      <c r="S1893" s="1" t="s">
        <v>6243</v>
      </c>
      <c r="T1893" s="1">
        <v>868</v>
      </c>
      <c r="U1893" s="1">
        <v>868</v>
      </c>
      <c r="V1893" s="1">
        <v>868</v>
      </c>
    </row>
    <row r="1894" spans="1:38" x14ac:dyDescent="0.2">
      <c r="A1894" s="1" t="s">
        <v>1455</v>
      </c>
      <c r="B1894" s="1">
        <v>21866343</v>
      </c>
      <c r="C1894" s="1" t="s">
        <v>7420</v>
      </c>
      <c r="E1894" s="21">
        <v>78</v>
      </c>
      <c r="G1894" s="1" t="s">
        <v>54</v>
      </c>
      <c r="H1894" s="1" t="s">
        <v>1809</v>
      </c>
      <c r="I1894" s="5">
        <v>40780</v>
      </c>
      <c r="J1894" s="18" t="s">
        <v>11</v>
      </c>
      <c r="K1894" s="15" t="s">
        <v>595</v>
      </c>
      <c r="L1894" s="15" t="s">
        <v>6558</v>
      </c>
      <c r="N1894" s="5" t="s">
        <v>10</v>
      </c>
      <c r="O1894" s="5" t="s">
        <v>10</v>
      </c>
      <c r="P1894" s="1" t="s">
        <v>3134</v>
      </c>
      <c r="Q1894" s="1" t="s">
        <v>6373</v>
      </c>
      <c r="R1894" s="2" t="s">
        <v>4475</v>
      </c>
      <c r="S1894" s="1" t="s">
        <v>6242</v>
      </c>
      <c r="T1894" s="1">
        <v>2377</v>
      </c>
      <c r="U1894" s="1">
        <v>943</v>
      </c>
      <c r="X1894" s="1">
        <v>943</v>
      </c>
      <c r="AH1894" s="1">
        <v>1434</v>
      </c>
      <c r="AK1894" s="1">
        <v>1434</v>
      </c>
    </row>
    <row r="1895" spans="1:38" x14ac:dyDescent="0.2">
      <c r="A1895" s="1" t="s">
        <v>2650</v>
      </c>
      <c r="B1895" s="1">
        <v>21871595</v>
      </c>
      <c r="C1895" s="1" t="s">
        <v>7420</v>
      </c>
      <c r="E1895" s="21">
        <v>32</v>
      </c>
      <c r="G1895" s="1" t="s">
        <v>429</v>
      </c>
      <c r="H1895" s="1" t="s">
        <v>430</v>
      </c>
      <c r="I1895" s="5">
        <v>40779</v>
      </c>
      <c r="J1895" s="18" t="s">
        <v>11</v>
      </c>
      <c r="K1895" s="1" t="s">
        <v>16</v>
      </c>
      <c r="L1895" s="1" t="s">
        <v>3006</v>
      </c>
      <c r="N1895" s="5" t="s">
        <v>10</v>
      </c>
      <c r="O1895" s="5" t="s">
        <v>10</v>
      </c>
      <c r="P1895" s="1" t="s">
        <v>6292</v>
      </c>
      <c r="Q1895" s="1" t="s">
        <v>6293</v>
      </c>
      <c r="R1895" s="7" t="s">
        <v>6462</v>
      </c>
      <c r="S1895" s="1" t="s">
        <v>6243</v>
      </c>
      <c r="T1895" s="1">
        <v>43545</v>
      </c>
      <c r="U1895" s="1">
        <v>8071</v>
      </c>
      <c r="V1895" s="1">
        <v>8071</v>
      </c>
      <c r="AH1895" s="1">
        <v>35474</v>
      </c>
      <c r="AI1895" s="1">
        <v>35474</v>
      </c>
    </row>
    <row r="1896" spans="1:38" x14ac:dyDescent="0.2">
      <c r="A1896" s="1" t="s">
        <v>3071</v>
      </c>
      <c r="B1896" s="1">
        <v>21871609</v>
      </c>
      <c r="C1896" s="1" t="s">
        <v>7420</v>
      </c>
      <c r="E1896" s="21">
        <v>12</v>
      </c>
      <c r="G1896" s="1" t="s">
        <v>6629</v>
      </c>
      <c r="H1896" s="1" t="s">
        <v>179</v>
      </c>
      <c r="I1896" s="5">
        <v>40779</v>
      </c>
      <c r="J1896" s="18" t="s">
        <v>10</v>
      </c>
      <c r="K1896" s="15" t="s">
        <v>1128</v>
      </c>
      <c r="L1896" s="15" t="s">
        <v>6507</v>
      </c>
      <c r="N1896" s="5" t="s">
        <v>10</v>
      </c>
      <c r="O1896" s="5" t="s">
        <v>10</v>
      </c>
      <c r="P1896" s="1" t="s">
        <v>3838</v>
      </c>
      <c r="Q1896" s="1" t="s">
        <v>3837</v>
      </c>
      <c r="R1896" s="2" t="s">
        <v>4947</v>
      </c>
      <c r="S1896" s="1" t="s">
        <v>6243</v>
      </c>
      <c r="T1896" s="1">
        <v>2543</v>
      </c>
      <c r="U1896" s="1">
        <v>1227</v>
      </c>
      <c r="V1896" s="1">
        <v>1227</v>
      </c>
      <c r="AH1896" s="1">
        <v>1316</v>
      </c>
      <c r="AI1896" s="1">
        <v>1316</v>
      </c>
    </row>
    <row r="1897" spans="1:38" x14ac:dyDescent="0.2">
      <c r="A1897" s="1" t="s">
        <v>2651</v>
      </c>
      <c r="B1897" s="1">
        <v>21873549</v>
      </c>
      <c r="C1897" s="1" t="s">
        <v>7420</v>
      </c>
      <c r="E1897" s="21">
        <v>73</v>
      </c>
      <c r="G1897" s="1" t="s">
        <v>2652</v>
      </c>
      <c r="H1897" s="1" t="s">
        <v>7381</v>
      </c>
      <c r="I1897" s="5">
        <v>40781</v>
      </c>
      <c r="J1897" s="18" t="s">
        <v>11</v>
      </c>
      <c r="K1897" s="1" t="s">
        <v>90</v>
      </c>
      <c r="L1897" s="1" t="s">
        <v>3007</v>
      </c>
      <c r="N1897" s="5" t="s">
        <v>10</v>
      </c>
      <c r="O1897" s="5" t="s">
        <v>10</v>
      </c>
      <c r="P1897" s="1" t="s">
        <v>6294</v>
      </c>
      <c r="Q1897" s="1" t="s">
        <v>6295</v>
      </c>
      <c r="R1897" s="2" t="s">
        <v>6008</v>
      </c>
      <c r="S1897" s="1" t="s">
        <v>6243</v>
      </c>
      <c r="T1897" s="1">
        <v>27079</v>
      </c>
      <c r="U1897" s="1">
        <v>10701</v>
      </c>
      <c r="V1897" s="1">
        <v>10701</v>
      </c>
      <c r="AH1897" s="1">
        <v>16378</v>
      </c>
      <c r="AI1897" s="1">
        <v>16378</v>
      </c>
    </row>
    <row r="1898" spans="1:38" x14ac:dyDescent="0.2">
      <c r="A1898" s="1" t="s">
        <v>326</v>
      </c>
      <c r="B1898" s="1">
        <v>21874001</v>
      </c>
      <c r="C1898" s="1" t="s">
        <v>7420</v>
      </c>
      <c r="E1898" s="21">
        <v>220</v>
      </c>
      <c r="G1898" s="1" t="s">
        <v>61</v>
      </c>
      <c r="H1898" s="1" t="s">
        <v>7396</v>
      </c>
      <c r="I1898" s="5">
        <v>40783</v>
      </c>
      <c r="J1898" s="18" t="s">
        <v>11</v>
      </c>
      <c r="K1898" s="1" t="s">
        <v>28</v>
      </c>
      <c r="L1898" s="1" t="s">
        <v>3008</v>
      </c>
      <c r="N1898" s="5" t="s">
        <v>10</v>
      </c>
      <c r="O1898" s="5" t="s">
        <v>10</v>
      </c>
      <c r="P1898" s="1" t="s">
        <v>6296</v>
      </c>
      <c r="Q1898" s="1" t="s">
        <v>6297</v>
      </c>
      <c r="R1898" s="7" t="s">
        <v>6045</v>
      </c>
      <c r="S1898" s="1" t="s">
        <v>6432</v>
      </c>
      <c r="T1898" s="1">
        <v>58587</v>
      </c>
      <c r="U1898" s="1">
        <v>20019</v>
      </c>
      <c r="Y1898" s="1">
        <v>20019</v>
      </c>
      <c r="AH1898" s="1">
        <v>38568</v>
      </c>
      <c r="AL1898" s="1">
        <v>38568</v>
      </c>
    </row>
    <row r="1899" spans="1:38" x14ac:dyDescent="0.2">
      <c r="A1899" s="1" t="s">
        <v>2666</v>
      </c>
      <c r="B1899" s="1">
        <v>21876473</v>
      </c>
      <c r="C1899" s="1" t="s">
        <v>7420</v>
      </c>
      <c r="E1899" s="21">
        <v>5949</v>
      </c>
      <c r="G1899" s="1" t="s">
        <v>2670</v>
      </c>
      <c r="H1899" s="1" t="s">
        <v>7209</v>
      </c>
      <c r="I1899" s="5">
        <v>40781</v>
      </c>
      <c r="J1899" s="18" t="s">
        <v>11</v>
      </c>
      <c r="K1899" s="1" t="s">
        <v>1520</v>
      </c>
      <c r="L1899" s="1" t="s">
        <v>3009</v>
      </c>
      <c r="N1899" s="5" t="s">
        <v>10</v>
      </c>
      <c r="O1899" s="5" t="s">
        <v>10</v>
      </c>
      <c r="P1899" s="1" t="s">
        <v>3591</v>
      </c>
      <c r="Q1899" s="1" t="s">
        <v>33</v>
      </c>
      <c r="R1899" s="6" t="s">
        <v>3064</v>
      </c>
      <c r="S1899" s="1" t="s">
        <v>6243</v>
      </c>
      <c r="T1899" s="1">
        <v>1016</v>
      </c>
      <c r="U1899" s="1">
        <v>1016</v>
      </c>
      <c r="V1899" s="1">
        <v>1016</v>
      </c>
    </row>
    <row r="1900" spans="1:38" x14ac:dyDescent="0.2">
      <c r="A1900" s="1" t="s">
        <v>2667</v>
      </c>
      <c r="B1900" s="1">
        <v>21876539</v>
      </c>
      <c r="C1900" s="1" t="s">
        <v>7420</v>
      </c>
      <c r="E1900" s="21">
        <v>18</v>
      </c>
      <c r="G1900" s="1" t="s">
        <v>2249</v>
      </c>
      <c r="H1900" s="1" t="s">
        <v>7071</v>
      </c>
      <c r="I1900" s="5">
        <v>40785</v>
      </c>
      <c r="J1900" s="18" t="s">
        <v>11</v>
      </c>
      <c r="K1900" s="1" t="s">
        <v>71</v>
      </c>
      <c r="L1900" s="1" t="s">
        <v>3010</v>
      </c>
      <c r="N1900" s="5" t="s">
        <v>10</v>
      </c>
      <c r="O1900" s="5" t="s">
        <v>10</v>
      </c>
      <c r="P1900" s="1" t="s">
        <v>6207</v>
      </c>
      <c r="Q1900" s="1" t="s">
        <v>3769</v>
      </c>
      <c r="R1900" s="2" t="s">
        <v>5996</v>
      </c>
      <c r="S1900" s="1" t="s">
        <v>6243</v>
      </c>
      <c r="T1900" s="1">
        <v>26105</v>
      </c>
      <c r="U1900" s="1">
        <v>18176</v>
      </c>
      <c r="V1900" s="1">
        <v>18176</v>
      </c>
      <c r="AH1900" s="1">
        <v>7929</v>
      </c>
      <c r="AI1900" s="1">
        <v>7929</v>
      </c>
    </row>
    <row r="1901" spans="1:38" x14ac:dyDescent="0.2">
      <c r="A1901" s="1" t="s">
        <v>1649</v>
      </c>
      <c r="B1901" s="1">
        <v>21876681</v>
      </c>
      <c r="C1901" s="1" t="s">
        <v>7420</v>
      </c>
      <c r="E1901" s="21">
        <v>529</v>
      </c>
      <c r="G1901" s="1" t="s">
        <v>19</v>
      </c>
      <c r="H1901" s="1" t="s">
        <v>7195</v>
      </c>
      <c r="I1901" s="5">
        <v>40773</v>
      </c>
      <c r="J1901" s="18" t="s">
        <v>11</v>
      </c>
      <c r="K1901" s="1" t="s">
        <v>65</v>
      </c>
      <c r="L1901" s="1" t="s">
        <v>3011</v>
      </c>
      <c r="N1901" s="5" t="s">
        <v>10</v>
      </c>
      <c r="O1901" s="5" t="s">
        <v>10</v>
      </c>
      <c r="P1901" s="1" t="s">
        <v>5607</v>
      </c>
      <c r="Q1901" s="1" t="s">
        <v>5608</v>
      </c>
      <c r="R1901" s="2" t="s">
        <v>3902</v>
      </c>
      <c r="S1901" s="1" t="s">
        <v>6243</v>
      </c>
      <c r="T1901" s="1">
        <v>5320</v>
      </c>
      <c r="U1901" s="1">
        <v>2389</v>
      </c>
      <c r="V1901" s="1">
        <v>2389</v>
      </c>
      <c r="AH1901" s="1">
        <v>2931</v>
      </c>
      <c r="AI1901" s="1">
        <v>2931</v>
      </c>
    </row>
    <row r="1902" spans="1:38" x14ac:dyDescent="0.2">
      <c r="A1902" s="1" t="s">
        <v>2024</v>
      </c>
      <c r="B1902" s="1">
        <v>21878436</v>
      </c>
      <c r="C1902" s="1" t="s">
        <v>7420</v>
      </c>
      <c r="E1902" s="21">
        <v>100</v>
      </c>
      <c r="G1902" s="1" t="s">
        <v>6935</v>
      </c>
      <c r="H1902" s="1" t="s">
        <v>7189</v>
      </c>
      <c r="I1902" s="5">
        <v>40785</v>
      </c>
      <c r="J1902" s="18" t="s">
        <v>11</v>
      </c>
      <c r="K1902" s="1" t="s">
        <v>103</v>
      </c>
      <c r="L1902" s="1" t="s">
        <v>3012</v>
      </c>
      <c r="N1902" s="5" t="s">
        <v>10</v>
      </c>
      <c r="O1902" s="5" t="s">
        <v>10</v>
      </c>
      <c r="P1902" s="1" t="s">
        <v>3807</v>
      </c>
      <c r="Q1902" s="1" t="s">
        <v>3808</v>
      </c>
      <c r="R1902" s="2" t="s">
        <v>4626</v>
      </c>
      <c r="S1902" s="1" t="s">
        <v>6243</v>
      </c>
      <c r="T1902" s="1">
        <v>4466</v>
      </c>
      <c r="U1902" s="1">
        <v>866</v>
      </c>
      <c r="V1902" s="1">
        <v>866</v>
      </c>
      <c r="AH1902" s="1">
        <v>3600</v>
      </c>
      <c r="AI1902" s="1">
        <v>3600</v>
      </c>
    </row>
    <row r="1903" spans="1:38" x14ac:dyDescent="0.2">
      <c r="A1903" s="1" t="s">
        <v>2680</v>
      </c>
      <c r="B1903" s="1">
        <v>21878437</v>
      </c>
      <c r="C1903" s="1" t="s">
        <v>7420</v>
      </c>
      <c r="E1903" s="21">
        <v>6</v>
      </c>
      <c r="G1903" s="1" t="s">
        <v>6740</v>
      </c>
      <c r="H1903" s="1" t="s">
        <v>7219</v>
      </c>
      <c r="I1903" s="5">
        <v>40785</v>
      </c>
      <c r="J1903" s="18" t="s">
        <v>11</v>
      </c>
      <c r="K1903" s="1" t="s">
        <v>103</v>
      </c>
      <c r="L1903" s="1" t="s">
        <v>3013</v>
      </c>
      <c r="N1903" s="5" t="s">
        <v>10</v>
      </c>
      <c r="O1903" s="5" t="s">
        <v>10</v>
      </c>
      <c r="P1903" s="1" t="s">
        <v>6298</v>
      </c>
      <c r="Q1903" s="1" t="s">
        <v>6374</v>
      </c>
      <c r="R1903" s="2" t="s">
        <v>6067</v>
      </c>
      <c r="S1903" s="1" t="s">
        <v>6243</v>
      </c>
      <c r="T1903" s="1">
        <v>9302</v>
      </c>
      <c r="U1903" s="1">
        <v>5006</v>
      </c>
      <c r="V1903" s="1">
        <v>5006</v>
      </c>
      <c r="AH1903" s="1">
        <v>4296</v>
      </c>
      <c r="AI1903" s="1">
        <v>4296</v>
      </c>
    </row>
    <row r="1904" spans="1:38" x14ac:dyDescent="0.2">
      <c r="A1904" s="1" t="s">
        <v>2681</v>
      </c>
      <c r="B1904" s="1">
        <v>21880673</v>
      </c>
      <c r="C1904" s="1" t="s">
        <v>7420</v>
      </c>
      <c r="E1904" s="21">
        <v>15</v>
      </c>
      <c r="G1904" s="1" t="s">
        <v>6745</v>
      </c>
      <c r="H1904" s="1" t="s">
        <v>7185</v>
      </c>
      <c r="I1904" s="5">
        <v>40786</v>
      </c>
      <c r="J1904" s="18" t="s">
        <v>10</v>
      </c>
      <c r="K1904" s="1" t="s">
        <v>551</v>
      </c>
      <c r="L1904" s="1" t="s">
        <v>3014</v>
      </c>
      <c r="N1904" s="5" t="s">
        <v>10</v>
      </c>
      <c r="O1904" s="5" t="s">
        <v>10</v>
      </c>
      <c r="P1904" s="1" t="s">
        <v>3487</v>
      </c>
      <c r="Q1904" s="1" t="s">
        <v>33</v>
      </c>
      <c r="R1904" s="2" t="s">
        <v>739</v>
      </c>
      <c r="S1904" s="1" t="s">
        <v>6243</v>
      </c>
      <c r="T1904" s="1">
        <v>2712</v>
      </c>
      <c r="U1904" s="1">
        <v>2712</v>
      </c>
      <c r="V1904" s="1">
        <v>2712</v>
      </c>
    </row>
    <row r="1905" spans="1:39" x14ac:dyDescent="0.2">
      <c r="A1905" s="1" t="s">
        <v>2371</v>
      </c>
      <c r="B1905" s="1">
        <v>21886157</v>
      </c>
      <c r="C1905" s="1" t="s">
        <v>7420</v>
      </c>
      <c r="E1905" s="21">
        <v>131602</v>
      </c>
      <c r="F1905" s="17">
        <v>1</v>
      </c>
      <c r="G1905" s="1" t="s">
        <v>6759</v>
      </c>
      <c r="H1905" s="1" t="s">
        <v>7211</v>
      </c>
      <c r="I1905" s="5">
        <v>40786</v>
      </c>
      <c r="J1905" s="18" t="s">
        <v>11</v>
      </c>
      <c r="K1905" s="1" t="s">
        <v>58</v>
      </c>
      <c r="L1905" s="1" t="s">
        <v>3015</v>
      </c>
      <c r="N1905" s="5" t="s">
        <v>10</v>
      </c>
      <c r="O1905" s="5" t="s">
        <v>10</v>
      </c>
      <c r="P1905" s="1" t="s">
        <v>4213</v>
      </c>
      <c r="Q1905" s="7" t="s">
        <v>5632</v>
      </c>
      <c r="R1905" s="2" t="s">
        <v>5993</v>
      </c>
      <c r="S1905" s="1" t="s">
        <v>6243</v>
      </c>
      <c r="T1905" s="1">
        <v>2820</v>
      </c>
      <c r="U1905" s="1">
        <v>2820</v>
      </c>
      <c r="V1905" s="1">
        <v>2820</v>
      </c>
    </row>
    <row r="1906" spans="1:39" x14ac:dyDescent="0.2">
      <c r="A1906" s="1" t="s">
        <v>1431</v>
      </c>
      <c r="B1906" s="1">
        <v>21896673</v>
      </c>
      <c r="C1906" s="1" t="s">
        <v>7420</v>
      </c>
      <c r="E1906" s="21">
        <v>11</v>
      </c>
      <c r="G1906" s="1" t="s">
        <v>2682</v>
      </c>
      <c r="H1906" s="1" t="s">
        <v>7122</v>
      </c>
      <c r="I1906" s="5">
        <v>40792</v>
      </c>
      <c r="J1906" s="18" t="s">
        <v>11</v>
      </c>
      <c r="K1906" s="1" t="s">
        <v>103</v>
      </c>
      <c r="L1906" s="1" t="s">
        <v>3016</v>
      </c>
      <c r="N1906" s="5" t="s">
        <v>10</v>
      </c>
      <c r="O1906" s="5" t="s">
        <v>10</v>
      </c>
      <c r="P1906" s="1" t="s">
        <v>6073</v>
      </c>
      <c r="Q1906" s="1" t="s">
        <v>6072</v>
      </c>
      <c r="R1906" s="2" t="s">
        <v>4620</v>
      </c>
      <c r="S1906" s="1" t="s">
        <v>6244</v>
      </c>
      <c r="T1906" s="1">
        <v>6885</v>
      </c>
      <c r="U1906" s="1">
        <v>4811</v>
      </c>
      <c r="V1906" s="1">
        <v>4811</v>
      </c>
      <c r="AH1906" s="1">
        <v>2074</v>
      </c>
      <c r="AM1906" s="1">
        <v>2074</v>
      </c>
    </row>
    <row r="1907" spans="1:39" x14ac:dyDescent="0.2">
      <c r="A1907" s="1" t="s">
        <v>2683</v>
      </c>
      <c r="B1907" s="1">
        <v>21897333</v>
      </c>
      <c r="C1907" s="1" t="s">
        <v>7420</v>
      </c>
      <c r="E1907" s="21">
        <v>24</v>
      </c>
      <c r="G1907" s="1" t="s">
        <v>2684</v>
      </c>
      <c r="H1907" s="1" t="s">
        <v>7321</v>
      </c>
      <c r="I1907" s="5">
        <v>40789</v>
      </c>
      <c r="J1907" s="18" t="s">
        <v>10</v>
      </c>
      <c r="K1907" s="1" t="s">
        <v>294</v>
      </c>
      <c r="L1907" s="1" t="s">
        <v>3017</v>
      </c>
      <c r="N1907" s="1" t="s">
        <v>11</v>
      </c>
      <c r="O1907" s="1" t="s">
        <v>11</v>
      </c>
      <c r="P1907" s="1" t="s">
        <v>5670</v>
      </c>
      <c r="Q1907" s="1" t="s">
        <v>33</v>
      </c>
      <c r="R1907" s="2" t="s">
        <v>6443</v>
      </c>
      <c r="S1907" s="1" t="s">
        <v>6243</v>
      </c>
      <c r="T1907" s="1">
        <v>192</v>
      </c>
      <c r="U1907" s="1">
        <v>192</v>
      </c>
      <c r="V1907" s="1">
        <v>192</v>
      </c>
    </row>
    <row r="1908" spans="1:39" x14ac:dyDescent="0.2">
      <c r="A1908" s="1" t="s">
        <v>1335</v>
      </c>
      <c r="B1908" s="1">
        <v>21900290</v>
      </c>
      <c r="C1908" s="1" t="s">
        <v>7420</v>
      </c>
      <c r="E1908" s="21">
        <v>70</v>
      </c>
      <c r="G1908" s="1" t="s">
        <v>6750</v>
      </c>
      <c r="H1908" s="1" t="s">
        <v>7288</v>
      </c>
      <c r="I1908" s="5">
        <v>40792</v>
      </c>
      <c r="J1908" s="18" t="s">
        <v>11</v>
      </c>
      <c r="K1908" s="1" t="s">
        <v>1881</v>
      </c>
      <c r="L1908" s="1" t="s">
        <v>3018</v>
      </c>
      <c r="N1908" s="5" t="s">
        <v>10</v>
      </c>
      <c r="O1908" s="5" t="s">
        <v>10</v>
      </c>
      <c r="P1908" s="1" t="s">
        <v>6299</v>
      </c>
      <c r="Q1908" s="1" t="s">
        <v>33</v>
      </c>
      <c r="R1908" s="2" t="s">
        <v>739</v>
      </c>
      <c r="S1908" s="1" t="s">
        <v>6243</v>
      </c>
      <c r="T1908" s="1">
        <v>2308</v>
      </c>
      <c r="U1908" s="1">
        <v>2308</v>
      </c>
      <c r="V1908" s="1">
        <v>2308</v>
      </c>
    </row>
    <row r="1909" spans="1:39" x14ac:dyDescent="0.2">
      <c r="A1909" s="1" t="s">
        <v>1290</v>
      </c>
      <c r="B1909" s="1">
        <v>21900944</v>
      </c>
      <c r="C1909" s="1" t="s">
        <v>7420</v>
      </c>
      <c r="D1909" s="1" t="s">
        <v>7411</v>
      </c>
      <c r="E1909" s="21">
        <v>1</v>
      </c>
      <c r="G1909" s="1" t="s">
        <v>6720</v>
      </c>
      <c r="H1909" s="1" t="s">
        <v>7215</v>
      </c>
      <c r="I1909" s="5">
        <v>40794</v>
      </c>
      <c r="J1909" s="18" t="s">
        <v>11</v>
      </c>
      <c r="K1909" s="1" t="s">
        <v>689</v>
      </c>
      <c r="L1909" s="1" t="s">
        <v>3019</v>
      </c>
      <c r="N1909" s="5" t="s">
        <v>10</v>
      </c>
      <c r="O1909" s="5" t="s">
        <v>10</v>
      </c>
      <c r="P1909" s="1" t="s">
        <v>6300</v>
      </c>
      <c r="Q1909" s="1" t="s">
        <v>6301</v>
      </c>
      <c r="R1909" s="2" t="s">
        <v>4394</v>
      </c>
      <c r="S1909" s="1" t="s">
        <v>6243</v>
      </c>
      <c r="T1909" s="1">
        <v>3445</v>
      </c>
      <c r="U1909" s="1">
        <v>866</v>
      </c>
      <c r="V1909" s="1">
        <v>866</v>
      </c>
      <c r="AH1909" s="1">
        <v>2579</v>
      </c>
      <c r="AI1909" s="1">
        <v>2579</v>
      </c>
    </row>
    <row r="1910" spans="1:39" x14ac:dyDescent="0.2">
      <c r="A1910" s="1" t="s">
        <v>2687</v>
      </c>
      <c r="B1910" s="1">
        <v>21900946</v>
      </c>
      <c r="C1910" s="1" t="s">
        <v>7420</v>
      </c>
      <c r="E1910" s="21">
        <v>34</v>
      </c>
      <c r="G1910" s="1" t="s">
        <v>2629</v>
      </c>
      <c r="H1910" s="1" t="s">
        <v>2678</v>
      </c>
      <c r="I1910" s="5">
        <v>40794</v>
      </c>
      <c r="J1910" s="18" t="s">
        <v>11</v>
      </c>
      <c r="K1910" s="1" t="s">
        <v>689</v>
      </c>
      <c r="L1910" s="1" t="s">
        <v>3020</v>
      </c>
      <c r="N1910" s="5" t="s">
        <v>10</v>
      </c>
      <c r="O1910" s="5" t="s">
        <v>10</v>
      </c>
      <c r="P1910" s="1" t="s">
        <v>6302</v>
      </c>
      <c r="Q1910" s="1" t="s">
        <v>6303</v>
      </c>
      <c r="R1910" s="2" t="s">
        <v>5944</v>
      </c>
      <c r="S1910" s="1" t="s">
        <v>6242</v>
      </c>
      <c r="T1910" s="1">
        <v>5426</v>
      </c>
      <c r="U1910" s="1">
        <v>3837</v>
      </c>
      <c r="X1910" s="1">
        <v>3837</v>
      </c>
      <c r="AH1910" s="1">
        <v>1589</v>
      </c>
      <c r="AK1910" s="1">
        <v>1589</v>
      </c>
    </row>
    <row r="1911" spans="1:39" x14ac:dyDescent="0.2">
      <c r="A1911" s="1" t="s">
        <v>2683</v>
      </c>
      <c r="B1911" s="1">
        <v>21901158</v>
      </c>
      <c r="C1911" s="1" t="s">
        <v>7420</v>
      </c>
      <c r="E1911" s="21">
        <v>3118</v>
      </c>
      <c r="G1911" s="1" t="s">
        <v>2688</v>
      </c>
      <c r="H1911" s="1" t="s">
        <v>7381</v>
      </c>
      <c r="I1911" s="5">
        <v>40780</v>
      </c>
      <c r="J1911" s="18" t="s">
        <v>11</v>
      </c>
      <c r="K1911" s="1" t="s">
        <v>181</v>
      </c>
      <c r="L1911" s="1" t="s">
        <v>3021</v>
      </c>
      <c r="N1911" s="5" t="s">
        <v>10</v>
      </c>
      <c r="O1911" s="5" t="s">
        <v>10</v>
      </c>
      <c r="P1911" s="1" t="s">
        <v>6304</v>
      </c>
      <c r="Q1911" s="1" t="s">
        <v>33</v>
      </c>
      <c r="R1911" s="2" t="s">
        <v>4167</v>
      </c>
      <c r="S1911" s="1" t="s">
        <v>6440</v>
      </c>
      <c r="T1911" s="1">
        <v>1040</v>
      </c>
      <c r="U1911" s="1">
        <v>1040</v>
      </c>
      <c r="W1911" s="1">
        <v>1040</v>
      </c>
    </row>
    <row r="1912" spans="1:39" x14ac:dyDescent="0.2">
      <c r="A1912" s="1" t="s">
        <v>1666</v>
      </c>
      <c r="B1912" s="1">
        <v>21907864</v>
      </c>
      <c r="C1912" s="1" t="s">
        <v>7420</v>
      </c>
      <c r="E1912" s="21">
        <v>61</v>
      </c>
      <c r="G1912" s="1" t="s">
        <v>799</v>
      </c>
      <c r="H1912" s="1" t="s">
        <v>7052</v>
      </c>
      <c r="I1912" s="5">
        <v>40796</v>
      </c>
      <c r="J1912" s="18" t="s">
        <v>11</v>
      </c>
      <c r="K1912" s="1" t="s">
        <v>351</v>
      </c>
      <c r="L1912" s="1" t="s">
        <v>3102</v>
      </c>
      <c r="N1912" s="5" t="s">
        <v>10</v>
      </c>
      <c r="O1912" s="5" t="s">
        <v>10</v>
      </c>
      <c r="P1912" s="1" t="s">
        <v>6305</v>
      </c>
      <c r="Q1912" s="1" t="s">
        <v>6375</v>
      </c>
      <c r="R1912" s="2" t="s">
        <v>6477</v>
      </c>
      <c r="S1912" s="1" t="s">
        <v>6243</v>
      </c>
      <c r="T1912" s="1">
        <v>64997</v>
      </c>
      <c r="U1912" s="1">
        <v>7197</v>
      </c>
      <c r="V1912" s="1">
        <v>7197</v>
      </c>
      <c r="AH1912" s="1">
        <v>57800</v>
      </c>
      <c r="AI1912" s="1">
        <v>57800</v>
      </c>
    </row>
    <row r="1913" spans="1:39" x14ac:dyDescent="0.2">
      <c r="A1913" s="1" t="s">
        <v>3027</v>
      </c>
      <c r="B1913" s="1">
        <v>21908515</v>
      </c>
      <c r="C1913" s="1" t="s">
        <v>7420</v>
      </c>
      <c r="E1913" s="21">
        <v>54</v>
      </c>
      <c r="G1913" s="1" t="s">
        <v>119</v>
      </c>
      <c r="H1913" s="1" t="s">
        <v>6675</v>
      </c>
      <c r="I1913" s="5">
        <v>40795</v>
      </c>
      <c r="J1913" s="18" t="s">
        <v>11</v>
      </c>
      <c r="K1913" s="1" t="s">
        <v>103</v>
      </c>
      <c r="L1913" s="1" t="s">
        <v>3103</v>
      </c>
      <c r="N1913" s="1" t="s">
        <v>11</v>
      </c>
      <c r="O1913" s="1" t="s">
        <v>11</v>
      </c>
      <c r="P1913" s="1" t="s">
        <v>6306</v>
      </c>
      <c r="Q1913" s="1" t="s">
        <v>6307</v>
      </c>
      <c r="R1913" s="6" t="s">
        <v>3065</v>
      </c>
      <c r="S1913" s="1" t="s">
        <v>6242</v>
      </c>
      <c r="T1913" s="1">
        <v>34096</v>
      </c>
      <c r="U1913" s="1">
        <v>4128</v>
      </c>
      <c r="X1913" s="1">
        <v>4128</v>
      </c>
      <c r="AH1913" s="1">
        <v>29968</v>
      </c>
      <c r="AK1913" s="1">
        <v>29968</v>
      </c>
    </row>
    <row r="1914" spans="1:39" x14ac:dyDescent="0.2">
      <c r="A1914" s="1" t="s">
        <v>3028</v>
      </c>
      <c r="B1914" s="1">
        <v>21908519</v>
      </c>
      <c r="C1914" s="1" t="s">
        <v>7420</v>
      </c>
      <c r="E1914" s="21">
        <v>176</v>
      </c>
      <c r="G1914" s="1" t="s">
        <v>6878</v>
      </c>
      <c r="H1914" s="1" t="s">
        <v>7202</v>
      </c>
      <c r="I1914" s="5">
        <v>40795</v>
      </c>
      <c r="J1914" s="18" t="s">
        <v>10</v>
      </c>
      <c r="K1914" s="15" t="s">
        <v>103</v>
      </c>
      <c r="L1914" s="15" t="s">
        <v>6512</v>
      </c>
      <c r="N1914" s="5" t="s">
        <v>10</v>
      </c>
      <c r="O1914" s="5" t="s">
        <v>10</v>
      </c>
      <c r="P1914" s="1" t="s">
        <v>5448</v>
      </c>
      <c r="Q1914" s="1" t="s">
        <v>33</v>
      </c>
      <c r="R1914" s="2" t="s">
        <v>5982</v>
      </c>
      <c r="S1914" s="1" t="s">
        <v>6243</v>
      </c>
      <c r="T1914" s="1">
        <v>3367</v>
      </c>
      <c r="U1914" s="1">
        <v>3367</v>
      </c>
      <c r="V1914" s="1">
        <v>3367</v>
      </c>
    </row>
    <row r="1915" spans="1:39" x14ac:dyDescent="0.2">
      <c r="A1915" s="1" t="s">
        <v>3029</v>
      </c>
      <c r="B1915" s="1">
        <v>21909106</v>
      </c>
      <c r="C1915" s="1" t="s">
        <v>7420</v>
      </c>
      <c r="E1915" s="21">
        <v>242</v>
      </c>
      <c r="G1915" s="1" t="s">
        <v>6816</v>
      </c>
      <c r="H1915" s="1" t="s">
        <v>7143</v>
      </c>
      <c r="I1915" s="5">
        <v>40797</v>
      </c>
      <c r="J1915" s="18" t="s">
        <v>11</v>
      </c>
      <c r="K1915" s="1" t="s">
        <v>28</v>
      </c>
      <c r="L1915" s="1" t="s">
        <v>3104</v>
      </c>
      <c r="N1915" s="5" t="s">
        <v>10</v>
      </c>
      <c r="O1915" s="5" t="s">
        <v>10</v>
      </c>
      <c r="P1915" s="1" t="s">
        <v>4392</v>
      </c>
      <c r="Q1915" s="1" t="s">
        <v>4602</v>
      </c>
      <c r="R1915" s="1" t="s">
        <v>4773</v>
      </c>
      <c r="S1915" s="1" t="s">
        <v>6242</v>
      </c>
      <c r="T1915" s="1">
        <v>20430</v>
      </c>
      <c r="U1915" s="1">
        <v>4150</v>
      </c>
      <c r="X1915" s="1">
        <v>4150</v>
      </c>
      <c r="AH1915" s="1">
        <v>16280</v>
      </c>
      <c r="AK1915" s="1">
        <v>16280</v>
      </c>
    </row>
    <row r="1916" spans="1:39" x14ac:dyDescent="0.2">
      <c r="A1916" s="1" t="s">
        <v>3030</v>
      </c>
      <c r="B1916" s="1">
        <v>21909107</v>
      </c>
      <c r="C1916" s="1" t="s">
        <v>7420</v>
      </c>
      <c r="E1916" s="21">
        <v>502</v>
      </c>
      <c r="G1916" s="1" t="s">
        <v>3031</v>
      </c>
      <c r="H1916" s="1" t="s">
        <v>7197</v>
      </c>
      <c r="I1916" s="5">
        <v>40797</v>
      </c>
      <c r="J1916" s="18" t="s">
        <v>11</v>
      </c>
      <c r="K1916" s="1" t="s">
        <v>28</v>
      </c>
      <c r="L1916" s="1" t="s">
        <v>3105</v>
      </c>
      <c r="N1916" s="5" t="s">
        <v>10</v>
      </c>
      <c r="O1916" s="5" t="s">
        <v>10</v>
      </c>
      <c r="P1916" s="1" t="s">
        <v>5385</v>
      </c>
      <c r="Q1916" s="1" t="s">
        <v>5386</v>
      </c>
      <c r="R1916" s="1" t="s">
        <v>6453</v>
      </c>
      <c r="S1916" s="1" t="s">
        <v>6243</v>
      </c>
      <c r="T1916" s="1">
        <v>2813</v>
      </c>
      <c r="U1916" s="1">
        <v>1639</v>
      </c>
      <c r="V1916" s="1">
        <v>1639</v>
      </c>
      <c r="AH1916" s="1">
        <v>1174</v>
      </c>
      <c r="AI1916" s="1">
        <v>1174</v>
      </c>
    </row>
    <row r="1917" spans="1:39" x14ac:dyDescent="0.2">
      <c r="A1917" s="1" t="s">
        <v>3033</v>
      </c>
      <c r="B1917" s="1">
        <v>21909108</v>
      </c>
      <c r="C1917" s="1" t="s">
        <v>7420</v>
      </c>
      <c r="E1917" s="21">
        <v>47</v>
      </c>
      <c r="G1917" s="1" t="s">
        <v>3032</v>
      </c>
      <c r="H1917" s="1" t="s">
        <v>7244</v>
      </c>
      <c r="I1917" s="5">
        <v>40797</v>
      </c>
      <c r="J1917" s="18" t="s">
        <v>11</v>
      </c>
      <c r="K1917" s="1" t="s">
        <v>28</v>
      </c>
      <c r="L1917" s="1" t="s">
        <v>3106</v>
      </c>
      <c r="N1917" s="5" t="s">
        <v>10</v>
      </c>
      <c r="O1917" s="5" t="s">
        <v>10</v>
      </c>
      <c r="P1917" s="1" t="s">
        <v>5446</v>
      </c>
      <c r="Q1917" s="1" t="s">
        <v>5447</v>
      </c>
      <c r="R1917" s="1" t="s">
        <v>868</v>
      </c>
      <c r="S1917" s="1" t="s">
        <v>6243</v>
      </c>
      <c r="T1917" s="1">
        <v>42484</v>
      </c>
      <c r="U1917" s="1">
        <v>31211</v>
      </c>
      <c r="V1917" s="1">
        <v>31211</v>
      </c>
      <c r="AH1917" s="1">
        <v>11273</v>
      </c>
      <c r="AI1917" s="1">
        <v>11273</v>
      </c>
    </row>
    <row r="1918" spans="1:39" x14ac:dyDescent="0.2">
      <c r="A1918" s="1" t="s">
        <v>1135</v>
      </c>
      <c r="B1918" s="1">
        <v>21909109</v>
      </c>
      <c r="C1918" s="1" t="s">
        <v>7420</v>
      </c>
      <c r="E1918" s="21">
        <v>87</v>
      </c>
      <c r="G1918" s="1" t="s">
        <v>6869</v>
      </c>
      <c r="H1918" s="1" t="s">
        <v>7387</v>
      </c>
      <c r="I1918" s="5">
        <v>40797</v>
      </c>
      <c r="J1918" s="18" t="s">
        <v>11</v>
      </c>
      <c r="K1918" s="1" t="s">
        <v>28</v>
      </c>
      <c r="L1918" s="1" t="s">
        <v>3107</v>
      </c>
      <c r="N1918" s="5" t="s">
        <v>10</v>
      </c>
      <c r="O1918" s="5" t="s">
        <v>10</v>
      </c>
      <c r="P1918" s="1" t="s">
        <v>4182</v>
      </c>
      <c r="Q1918" s="1" t="s">
        <v>4982</v>
      </c>
      <c r="R1918" s="1" t="s">
        <v>3100</v>
      </c>
      <c r="S1918" s="1" t="s">
        <v>6242</v>
      </c>
      <c r="T1918" s="1">
        <v>42940</v>
      </c>
      <c r="U1918" s="1">
        <v>12545</v>
      </c>
      <c r="X1918" s="1">
        <v>12545</v>
      </c>
      <c r="AH1918" s="1">
        <v>30395</v>
      </c>
      <c r="AK1918" s="1">
        <v>30395</v>
      </c>
    </row>
    <row r="1919" spans="1:39" x14ac:dyDescent="0.2">
      <c r="A1919" s="1" t="s">
        <v>3035</v>
      </c>
      <c r="B1919" s="1">
        <v>21909110</v>
      </c>
      <c r="C1919" s="1" t="s">
        <v>7420</v>
      </c>
      <c r="E1919" s="21">
        <v>210</v>
      </c>
      <c r="G1919" s="1" t="s">
        <v>3034</v>
      </c>
      <c r="H1919" s="1" t="s">
        <v>7222</v>
      </c>
      <c r="I1919" s="5">
        <v>40797</v>
      </c>
      <c r="J1919" s="18" t="s">
        <v>11</v>
      </c>
      <c r="K1919" s="1" t="s">
        <v>28</v>
      </c>
      <c r="L1919" s="1" t="s">
        <v>3108</v>
      </c>
      <c r="N1919" s="5" t="s">
        <v>10</v>
      </c>
      <c r="O1919" s="5" t="s">
        <v>10</v>
      </c>
      <c r="P1919" s="1" t="s">
        <v>5378</v>
      </c>
      <c r="Q1919" s="1" t="s">
        <v>5379</v>
      </c>
      <c r="R1919" s="1" t="s">
        <v>6463</v>
      </c>
      <c r="S1919" s="1" t="s">
        <v>6243</v>
      </c>
      <c r="T1919" s="1">
        <v>122671</v>
      </c>
      <c r="U1919" s="1">
        <v>74064</v>
      </c>
      <c r="V1919" s="1">
        <v>74064</v>
      </c>
      <c r="AH1919" s="1">
        <v>48607</v>
      </c>
      <c r="AI1919" s="1">
        <v>48607</v>
      </c>
    </row>
    <row r="1920" spans="1:39" x14ac:dyDescent="0.2">
      <c r="A1920" s="1" t="s">
        <v>3036</v>
      </c>
      <c r="B1920" s="1">
        <v>21909115</v>
      </c>
      <c r="C1920" s="1" t="s">
        <v>7420</v>
      </c>
      <c r="E1920" s="21">
        <v>270150</v>
      </c>
      <c r="G1920" s="1" t="s">
        <v>2196</v>
      </c>
      <c r="H1920" s="1" t="s">
        <v>7222</v>
      </c>
      <c r="I1920" s="5">
        <v>40797</v>
      </c>
      <c r="J1920" s="18" t="s">
        <v>11</v>
      </c>
      <c r="K1920" s="15" t="s">
        <v>58</v>
      </c>
      <c r="L1920" s="15" t="s">
        <v>6513</v>
      </c>
      <c r="N1920" s="5" t="s">
        <v>10</v>
      </c>
      <c r="O1920" s="5" t="s">
        <v>10</v>
      </c>
      <c r="P1920" s="1" t="s">
        <v>6308</v>
      </c>
      <c r="Q1920" s="7" t="s">
        <v>6309</v>
      </c>
      <c r="R1920" s="2" t="s">
        <v>2011</v>
      </c>
      <c r="S1920" s="1" t="s">
        <v>6243</v>
      </c>
      <c r="T1920" s="1">
        <v>203056</v>
      </c>
      <c r="U1920" s="1">
        <v>69395</v>
      </c>
      <c r="V1920" s="1">
        <v>69395</v>
      </c>
      <c r="AH1920" s="1">
        <v>133661</v>
      </c>
      <c r="AI1920" s="1">
        <v>133661</v>
      </c>
    </row>
    <row r="1921" spans="1:39" x14ac:dyDescent="0.2">
      <c r="A1921" s="1" t="s">
        <v>1374</v>
      </c>
      <c r="B1921" s="1">
        <v>21912186</v>
      </c>
      <c r="C1921" s="1" t="s">
        <v>7420</v>
      </c>
      <c r="E1921" s="21">
        <v>65</v>
      </c>
      <c r="G1921" s="1" t="s">
        <v>3131</v>
      </c>
      <c r="H1921" s="1" t="s">
        <v>70</v>
      </c>
      <c r="I1921" s="5">
        <v>40795</v>
      </c>
      <c r="J1921" s="18" t="s">
        <v>11</v>
      </c>
      <c r="K1921" s="1" t="s">
        <v>3109</v>
      </c>
      <c r="L1921" s="1" t="s">
        <v>3110</v>
      </c>
      <c r="N1921" s="5" t="s">
        <v>10</v>
      </c>
      <c r="O1921" s="5" t="s">
        <v>10</v>
      </c>
      <c r="P1921" s="1" t="s">
        <v>5282</v>
      </c>
      <c r="Q1921" s="1" t="s">
        <v>33</v>
      </c>
      <c r="R1921" s="1" t="s">
        <v>4374</v>
      </c>
      <c r="S1921" s="1" t="s">
        <v>6243</v>
      </c>
      <c r="T1921" s="1">
        <v>80</v>
      </c>
      <c r="U1921" s="1">
        <v>80</v>
      </c>
      <c r="V1921" s="1">
        <v>80</v>
      </c>
    </row>
    <row r="1922" spans="1:39" x14ac:dyDescent="0.2">
      <c r="A1922" s="1" t="s">
        <v>3037</v>
      </c>
      <c r="B1922" s="1">
        <v>21912425</v>
      </c>
      <c r="C1922" s="1" t="s">
        <v>7420</v>
      </c>
      <c r="E1922" s="21">
        <v>23</v>
      </c>
      <c r="G1922" s="1" t="s">
        <v>2046</v>
      </c>
      <c r="H1922" s="1" t="s">
        <v>7138</v>
      </c>
      <c r="I1922" s="5">
        <v>40799</v>
      </c>
      <c r="J1922" s="18" t="s">
        <v>11</v>
      </c>
      <c r="K1922" s="1" t="s">
        <v>113</v>
      </c>
      <c r="L1922" s="1" t="s">
        <v>3111</v>
      </c>
      <c r="N1922" s="5" t="s">
        <v>10</v>
      </c>
      <c r="O1922" s="5" t="s">
        <v>10</v>
      </c>
      <c r="P1922" s="1" t="s">
        <v>3101</v>
      </c>
      <c r="Q1922" s="1" t="s">
        <v>33</v>
      </c>
      <c r="R1922" s="1" t="s">
        <v>4985</v>
      </c>
      <c r="S1922" s="1" t="s">
        <v>6242</v>
      </c>
      <c r="T1922" s="1">
        <v>1005</v>
      </c>
      <c r="U1922" s="1">
        <v>1005</v>
      </c>
      <c r="X1922" s="1">
        <v>1005</v>
      </c>
    </row>
    <row r="1923" spans="1:39" x14ac:dyDescent="0.2">
      <c r="A1923" s="1" t="s">
        <v>3044</v>
      </c>
      <c r="B1923" s="1">
        <v>21921092</v>
      </c>
      <c r="C1923" s="1" t="s">
        <v>7420</v>
      </c>
      <c r="E1923" s="21">
        <v>14</v>
      </c>
      <c r="G1923" s="1" t="s">
        <v>6738</v>
      </c>
      <c r="H1923" s="1" t="s">
        <v>7153</v>
      </c>
      <c r="I1923" s="5">
        <v>40801</v>
      </c>
      <c r="J1923" s="18" t="s">
        <v>10</v>
      </c>
      <c r="K1923" s="15" t="s">
        <v>2483</v>
      </c>
      <c r="L1923" s="15" t="s">
        <v>6538</v>
      </c>
      <c r="N1923" s="5" t="s">
        <v>10</v>
      </c>
      <c r="O1923" s="5" t="s">
        <v>10</v>
      </c>
      <c r="P1923" s="1" t="s">
        <v>3137</v>
      </c>
      <c r="Q1923" s="1" t="s">
        <v>6376</v>
      </c>
      <c r="R1923" s="2" t="s">
        <v>3136</v>
      </c>
      <c r="S1923" s="1" t="s">
        <v>6244</v>
      </c>
      <c r="T1923" s="1">
        <v>6159</v>
      </c>
      <c r="U1923" s="1">
        <v>115</v>
      </c>
      <c r="Z1923" s="1">
        <v>115</v>
      </c>
      <c r="AH1923" s="1">
        <v>6044</v>
      </c>
      <c r="AI1923" s="1">
        <v>5731</v>
      </c>
      <c r="AM1923" s="1">
        <v>313</v>
      </c>
    </row>
    <row r="1924" spans="1:39" x14ac:dyDescent="0.2">
      <c r="A1924" s="1" t="s">
        <v>394</v>
      </c>
      <c r="B1924" s="1">
        <v>21926416</v>
      </c>
      <c r="C1924" s="1" t="s">
        <v>7420</v>
      </c>
      <c r="E1924" s="21">
        <v>170</v>
      </c>
      <c r="G1924" s="1" t="s">
        <v>6803</v>
      </c>
      <c r="H1924" s="1" t="s">
        <v>2562</v>
      </c>
      <c r="I1924" s="5">
        <v>40803</v>
      </c>
      <c r="J1924" s="18" t="s">
        <v>11</v>
      </c>
      <c r="K1924" s="1" t="s">
        <v>103</v>
      </c>
      <c r="L1924" s="1" t="s">
        <v>3112</v>
      </c>
      <c r="N1924" s="5" t="s">
        <v>10</v>
      </c>
      <c r="O1924" s="5" t="s">
        <v>10</v>
      </c>
      <c r="P1924" s="1" t="s">
        <v>5099</v>
      </c>
      <c r="Q1924" s="1" t="s">
        <v>6377</v>
      </c>
      <c r="R1924" s="1" t="s">
        <v>4814</v>
      </c>
      <c r="S1924" s="1" t="s">
        <v>6243</v>
      </c>
      <c r="T1924" s="1">
        <v>19807</v>
      </c>
      <c r="U1924" s="1">
        <v>2830</v>
      </c>
      <c r="V1924" s="1">
        <v>2830</v>
      </c>
      <c r="AH1924" s="1">
        <v>16977</v>
      </c>
      <c r="AI1924" s="1">
        <v>16977</v>
      </c>
    </row>
    <row r="1925" spans="1:39" x14ac:dyDescent="0.2">
      <c r="A1925" s="1" t="s">
        <v>3066</v>
      </c>
      <c r="B1925" s="1">
        <v>21926972</v>
      </c>
      <c r="C1925" s="1" t="s">
        <v>7420</v>
      </c>
      <c r="E1925" s="21">
        <v>44</v>
      </c>
      <c r="G1925" s="1" t="s">
        <v>112</v>
      </c>
      <c r="H1925" s="1" t="s">
        <v>7145</v>
      </c>
      <c r="I1925" s="5">
        <v>40804</v>
      </c>
      <c r="J1925" s="18" t="s">
        <v>11</v>
      </c>
      <c r="K1925" s="1" t="s">
        <v>28</v>
      </c>
      <c r="L1925" s="1" t="s">
        <v>3113</v>
      </c>
      <c r="N1925" s="5" t="s">
        <v>10</v>
      </c>
      <c r="O1925" s="5" t="s">
        <v>10</v>
      </c>
      <c r="P1925" s="1" t="s">
        <v>5368</v>
      </c>
      <c r="Q1925" s="1" t="s">
        <v>5369</v>
      </c>
      <c r="R1925" s="1" t="s">
        <v>4592</v>
      </c>
      <c r="S1925" s="1" t="s">
        <v>6243</v>
      </c>
      <c r="T1925" s="1">
        <v>63649</v>
      </c>
      <c r="U1925" s="1">
        <v>16731</v>
      </c>
      <c r="V1925" s="1">
        <v>16731</v>
      </c>
      <c r="AH1925" s="1">
        <v>46918</v>
      </c>
      <c r="AI1925" s="1">
        <v>46918</v>
      </c>
    </row>
    <row r="1926" spans="1:39" x14ac:dyDescent="0.2">
      <c r="A1926" s="1" t="s">
        <v>3067</v>
      </c>
      <c r="B1926" s="1">
        <v>21926974</v>
      </c>
      <c r="C1926" s="1" t="s">
        <v>7420</v>
      </c>
      <c r="E1926" s="21">
        <v>213</v>
      </c>
      <c r="G1926" s="1" t="s">
        <v>74</v>
      </c>
      <c r="H1926" s="1" t="s">
        <v>2545</v>
      </c>
      <c r="I1926" s="5">
        <v>40804</v>
      </c>
      <c r="J1926" s="18" t="s">
        <v>11</v>
      </c>
      <c r="K1926" s="1" t="s">
        <v>28</v>
      </c>
      <c r="L1926" s="1" t="s">
        <v>3114</v>
      </c>
      <c r="N1926" s="5" t="s">
        <v>10</v>
      </c>
      <c r="O1926" s="5" t="s">
        <v>10</v>
      </c>
      <c r="P1926" s="1" t="s">
        <v>5414</v>
      </c>
      <c r="Q1926" s="1" t="s">
        <v>5415</v>
      </c>
      <c r="R1926" s="1" t="s">
        <v>4279</v>
      </c>
      <c r="S1926" s="1" t="s">
        <v>6243</v>
      </c>
      <c r="T1926" s="1">
        <v>51695</v>
      </c>
      <c r="U1926" s="1">
        <v>21856</v>
      </c>
      <c r="V1926" s="1">
        <v>21856</v>
      </c>
      <c r="AH1926" s="1">
        <v>29839</v>
      </c>
      <c r="AI1926" s="1">
        <v>29839</v>
      </c>
    </row>
    <row r="1927" spans="1:39" x14ac:dyDescent="0.2">
      <c r="A1927" s="1" t="s">
        <v>3068</v>
      </c>
      <c r="B1927" s="1">
        <v>21927923</v>
      </c>
      <c r="C1927" s="1" t="s">
        <v>7420</v>
      </c>
      <c r="E1927" s="21">
        <v>33</v>
      </c>
      <c r="G1927" s="1" t="s">
        <v>413</v>
      </c>
      <c r="H1927" s="1" t="s">
        <v>7231</v>
      </c>
      <c r="I1927" s="5">
        <v>40803</v>
      </c>
      <c r="J1927" s="18" t="s">
        <v>10</v>
      </c>
      <c r="K1927" s="15" t="s">
        <v>6568</v>
      </c>
      <c r="L1927" s="15" t="s">
        <v>6548</v>
      </c>
      <c r="N1927" s="5" t="s">
        <v>10</v>
      </c>
      <c r="O1927" s="5" t="s">
        <v>10</v>
      </c>
      <c r="P1927" s="1" t="s">
        <v>4599</v>
      </c>
      <c r="Q1927" s="1" t="s">
        <v>33</v>
      </c>
      <c r="R1927" s="2" t="s">
        <v>4847</v>
      </c>
      <c r="S1927" s="1" t="s">
        <v>6244</v>
      </c>
      <c r="T1927" s="1">
        <v>6636</v>
      </c>
      <c r="U1927" s="1">
        <v>6636</v>
      </c>
      <c r="V1927" s="1">
        <v>5858</v>
      </c>
      <c r="X1927" s="1">
        <v>778</v>
      </c>
    </row>
    <row r="1928" spans="1:39" x14ac:dyDescent="0.2">
      <c r="A1928" s="1" t="s">
        <v>45</v>
      </c>
      <c r="B1928" s="1">
        <v>21931561</v>
      </c>
      <c r="C1928" s="1" t="s">
        <v>7420</v>
      </c>
      <c r="E1928" s="21">
        <v>113</v>
      </c>
      <c r="G1928" s="1" t="s">
        <v>869</v>
      </c>
      <c r="H1928" s="1" t="s">
        <v>7401</v>
      </c>
      <c r="I1928" s="5">
        <v>40794</v>
      </c>
      <c r="J1928" s="18" t="s">
        <v>10</v>
      </c>
      <c r="K1928" s="15" t="s">
        <v>65</v>
      </c>
      <c r="L1928" s="15" t="s">
        <v>6511</v>
      </c>
      <c r="N1928" s="5" t="s">
        <v>10</v>
      </c>
      <c r="O1928" s="5" t="s">
        <v>10</v>
      </c>
      <c r="P1928" s="1" t="s">
        <v>5487</v>
      </c>
      <c r="Q1928" s="1" t="s">
        <v>5488</v>
      </c>
      <c r="R1928" s="2" t="s">
        <v>6023</v>
      </c>
      <c r="S1928" s="1" t="s">
        <v>6440</v>
      </c>
      <c r="T1928" s="1">
        <v>12468</v>
      </c>
      <c r="U1928" s="1">
        <v>8110</v>
      </c>
      <c r="W1928" s="1">
        <v>8110</v>
      </c>
      <c r="AH1928" s="1">
        <v>4358</v>
      </c>
      <c r="AJ1928" s="1">
        <v>4358</v>
      </c>
    </row>
    <row r="1929" spans="1:39" x14ac:dyDescent="0.2">
      <c r="A1929" s="1" t="s">
        <v>2689</v>
      </c>
      <c r="B1929" s="1">
        <v>21931564</v>
      </c>
      <c r="C1929" s="1" t="s">
        <v>7420</v>
      </c>
      <c r="E1929" s="21">
        <v>728</v>
      </c>
      <c r="F1929" s="17">
        <v>1</v>
      </c>
      <c r="G1929" s="1" t="s">
        <v>6751</v>
      </c>
      <c r="H1929" s="1" t="s">
        <v>7202</v>
      </c>
      <c r="I1929" s="5">
        <v>40794</v>
      </c>
      <c r="J1929" s="18" t="s">
        <v>11</v>
      </c>
      <c r="K1929" s="15" t="s">
        <v>65</v>
      </c>
      <c r="L1929" s="15" t="s">
        <v>6510</v>
      </c>
      <c r="N1929" s="5" t="s">
        <v>10</v>
      </c>
      <c r="O1929" s="5" t="s">
        <v>10</v>
      </c>
      <c r="P1929" s="1" t="s">
        <v>6310</v>
      </c>
      <c r="Q1929" s="1" t="s">
        <v>6311</v>
      </c>
      <c r="R1929" s="2" t="s">
        <v>6034</v>
      </c>
      <c r="S1929" s="1" t="s">
        <v>6243</v>
      </c>
      <c r="T1929" s="1">
        <v>211</v>
      </c>
      <c r="U1929" s="1">
        <v>142</v>
      </c>
      <c r="V1929" s="1">
        <v>142</v>
      </c>
      <c r="AH1929" s="1">
        <v>69</v>
      </c>
      <c r="AI1929" s="1">
        <v>69</v>
      </c>
    </row>
    <row r="1930" spans="1:39" x14ac:dyDescent="0.2">
      <c r="A1930" s="1" t="s">
        <v>2690</v>
      </c>
      <c r="B1930" s="1">
        <v>21931568</v>
      </c>
      <c r="C1930" s="1" t="s">
        <v>7420</v>
      </c>
      <c r="E1930" s="21">
        <v>62</v>
      </c>
      <c r="G1930" s="1" t="s">
        <v>2691</v>
      </c>
      <c r="H1930" s="1" t="s">
        <v>7075</v>
      </c>
      <c r="I1930" s="5">
        <v>40794</v>
      </c>
      <c r="J1930" s="18" t="s">
        <v>11</v>
      </c>
      <c r="K1930" s="1" t="s">
        <v>65</v>
      </c>
      <c r="L1930" s="1" t="s">
        <v>3115</v>
      </c>
      <c r="N1930" s="1" t="s">
        <v>11</v>
      </c>
      <c r="O1930" s="1" t="s">
        <v>10</v>
      </c>
      <c r="P1930" s="1" t="s">
        <v>5307</v>
      </c>
      <c r="Q1930" s="1" t="s">
        <v>5308</v>
      </c>
      <c r="R1930" s="1" t="s">
        <v>4082</v>
      </c>
      <c r="S1930" s="1" t="s">
        <v>6243</v>
      </c>
      <c r="T1930" s="1">
        <v>8750</v>
      </c>
      <c r="U1930" s="1">
        <v>5088</v>
      </c>
      <c r="V1930" s="1">
        <v>5088</v>
      </c>
      <c r="AH1930" s="1">
        <v>3662</v>
      </c>
      <c r="AI1930" s="1">
        <v>3662</v>
      </c>
    </row>
    <row r="1931" spans="1:39" x14ac:dyDescent="0.2">
      <c r="A1931" s="1" t="s">
        <v>1307</v>
      </c>
      <c r="B1931" s="1">
        <v>21933777</v>
      </c>
      <c r="C1931" s="1" t="s">
        <v>7420</v>
      </c>
      <c r="D1931" s="1">
        <v>1</v>
      </c>
      <c r="E1931" s="21">
        <v>0</v>
      </c>
      <c r="G1931" s="1" t="s">
        <v>833</v>
      </c>
      <c r="H1931" s="1" t="s">
        <v>7265</v>
      </c>
      <c r="I1931" s="5">
        <v>40805</v>
      </c>
      <c r="J1931" s="18" t="s">
        <v>10</v>
      </c>
      <c r="K1931" s="15" t="s">
        <v>6569</v>
      </c>
      <c r="L1931" s="15" t="s">
        <v>6514</v>
      </c>
      <c r="N1931" s="5" t="s">
        <v>10</v>
      </c>
      <c r="O1931" s="5" t="s">
        <v>10</v>
      </c>
      <c r="P1931" s="1" t="s">
        <v>6312</v>
      </c>
      <c r="Q1931" s="1" t="s">
        <v>33</v>
      </c>
      <c r="R1931" s="2" t="s">
        <v>5948</v>
      </c>
      <c r="S1931" s="1" t="s">
        <v>6243</v>
      </c>
      <c r="T1931" s="1">
        <v>1329</v>
      </c>
      <c r="U1931" s="1">
        <v>1329</v>
      </c>
      <c r="V1931" s="1">
        <v>1329</v>
      </c>
    </row>
    <row r="1932" spans="1:39" x14ac:dyDescent="0.2">
      <c r="A1932" s="1" t="s">
        <v>1987</v>
      </c>
      <c r="B1932" s="1">
        <v>21935397</v>
      </c>
      <c r="C1932" s="1" t="s">
        <v>7420</v>
      </c>
      <c r="E1932" s="21">
        <v>12072</v>
      </c>
      <c r="G1932" s="1" t="s">
        <v>370</v>
      </c>
      <c r="H1932" s="1" t="s">
        <v>7229</v>
      </c>
      <c r="I1932" s="5">
        <v>40801</v>
      </c>
      <c r="J1932" s="18" t="s">
        <v>11</v>
      </c>
      <c r="K1932" s="1" t="s">
        <v>181</v>
      </c>
      <c r="L1932" s="1" t="s">
        <v>3116</v>
      </c>
      <c r="N1932" s="5" t="s">
        <v>10</v>
      </c>
      <c r="O1932" s="5" t="s">
        <v>10</v>
      </c>
      <c r="P1932" s="1" t="s">
        <v>5181</v>
      </c>
      <c r="Q1932" s="1" t="s">
        <v>5182</v>
      </c>
      <c r="R1932" s="1" t="s">
        <v>4570</v>
      </c>
      <c r="S1932" s="1" t="s">
        <v>6243</v>
      </c>
      <c r="T1932" s="1">
        <v>34554</v>
      </c>
      <c r="U1932" s="1">
        <v>5373</v>
      </c>
      <c r="V1932" s="1">
        <v>5373</v>
      </c>
      <c r="AH1932" s="1">
        <v>29181</v>
      </c>
      <c r="AI1932" s="1">
        <v>29181</v>
      </c>
    </row>
    <row r="1933" spans="1:39" x14ac:dyDescent="0.2">
      <c r="A1933" s="1" t="s">
        <v>3069</v>
      </c>
      <c r="B1933" s="1">
        <v>21940522</v>
      </c>
      <c r="C1933" s="1" t="s">
        <v>7420</v>
      </c>
      <c r="E1933" s="21">
        <v>67</v>
      </c>
      <c r="G1933" s="1" t="s">
        <v>3124</v>
      </c>
      <c r="H1933" s="1" t="s">
        <v>7068</v>
      </c>
      <c r="I1933" s="5">
        <v>40807</v>
      </c>
      <c r="J1933" s="18" t="s">
        <v>11</v>
      </c>
      <c r="K1933" s="1" t="s">
        <v>3117</v>
      </c>
      <c r="L1933" s="1" t="s">
        <v>3118</v>
      </c>
      <c r="N1933" s="5" t="s">
        <v>10</v>
      </c>
      <c r="O1933" s="5" t="s">
        <v>10</v>
      </c>
      <c r="P1933" s="1" t="s">
        <v>5065</v>
      </c>
      <c r="Q1933" s="1" t="s">
        <v>5066</v>
      </c>
      <c r="R1933" s="1" t="s">
        <v>4965</v>
      </c>
      <c r="S1933" s="1" t="s">
        <v>6243</v>
      </c>
      <c r="T1933" s="1">
        <v>3000</v>
      </c>
      <c r="U1933" s="1">
        <v>1305</v>
      </c>
      <c r="V1933" s="1">
        <v>1305</v>
      </c>
      <c r="AH1933" s="1">
        <v>1695</v>
      </c>
      <c r="AI1933" s="1">
        <v>1695</v>
      </c>
    </row>
    <row r="1934" spans="1:39" x14ac:dyDescent="0.2">
      <c r="A1934" s="1" t="s">
        <v>3070</v>
      </c>
      <c r="B1934" s="1">
        <v>21940970</v>
      </c>
      <c r="C1934" s="1" t="s">
        <v>7420</v>
      </c>
      <c r="E1934" s="21">
        <v>9</v>
      </c>
      <c r="G1934" s="1" t="s">
        <v>64</v>
      </c>
      <c r="H1934" s="1" t="s">
        <v>7170</v>
      </c>
      <c r="I1934" s="5">
        <v>40808</v>
      </c>
      <c r="J1934" s="18" t="s">
        <v>11</v>
      </c>
      <c r="K1934" s="1" t="s">
        <v>50</v>
      </c>
      <c r="L1934" s="1" t="s">
        <v>3119</v>
      </c>
      <c r="N1934" s="5" t="s">
        <v>10</v>
      </c>
      <c r="O1934" s="5" t="s">
        <v>10</v>
      </c>
      <c r="P1934" s="1" t="s">
        <v>3866</v>
      </c>
      <c r="Q1934" s="1" t="s">
        <v>33</v>
      </c>
      <c r="R1934" s="1" t="s">
        <v>6475</v>
      </c>
      <c r="S1934" s="1" t="s">
        <v>6248</v>
      </c>
      <c r="T1934" s="1">
        <v>555</v>
      </c>
      <c r="U1934" s="1">
        <v>555</v>
      </c>
      <c r="AE1934" s="1">
        <v>555</v>
      </c>
    </row>
    <row r="1935" spans="1:39" x14ac:dyDescent="0.2">
      <c r="A1935" s="1" t="s">
        <v>2665</v>
      </c>
      <c r="B1935" s="1">
        <v>21943158</v>
      </c>
      <c r="C1935" s="1" t="s">
        <v>7420</v>
      </c>
      <c r="E1935" s="21">
        <v>170</v>
      </c>
      <c r="G1935" s="1" t="s">
        <v>6783</v>
      </c>
      <c r="H1935" s="1" t="s">
        <v>7408</v>
      </c>
      <c r="I1935" s="5">
        <v>40810</v>
      </c>
      <c r="J1935" s="18" t="s">
        <v>11</v>
      </c>
      <c r="K1935" s="1" t="s">
        <v>220</v>
      </c>
      <c r="L1935" s="1" t="s">
        <v>3120</v>
      </c>
      <c r="N1935" s="5" t="s">
        <v>10</v>
      </c>
      <c r="O1935" s="5" t="s">
        <v>10</v>
      </c>
      <c r="P1935" s="1" t="s">
        <v>3730</v>
      </c>
      <c r="Q1935" s="1" t="s">
        <v>33</v>
      </c>
      <c r="R1935" s="1" t="s">
        <v>6474</v>
      </c>
      <c r="S1935" s="1" t="s">
        <v>6243</v>
      </c>
      <c r="T1935" s="1">
        <v>11683</v>
      </c>
      <c r="U1935" s="1">
        <v>11683</v>
      </c>
      <c r="V1935" s="1">
        <v>11683</v>
      </c>
    </row>
    <row r="1936" spans="1:39" x14ac:dyDescent="0.2">
      <c r="A1936" s="1" t="s">
        <v>3072</v>
      </c>
      <c r="B1936" s="1">
        <v>21946350</v>
      </c>
      <c r="C1936" s="1" t="s">
        <v>7420</v>
      </c>
      <c r="E1936" s="21">
        <v>420</v>
      </c>
      <c r="G1936" s="1" t="s">
        <v>792</v>
      </c>
      <c r="H1936" s="1" t="s">
        <v>7292</v>
      </c>
      <c r="I1936" s="5">
        <v>40811</v>
      </c>
      <c r="J1936" s="18" t="s">
        <v>11</v>
      </c>
      <c r="K1936" s="1" t="s">
        <v>28</v>
      </c>
      <c r="L1936" s="1" t="s">
        <v>3121</v>
      </c>
      <c r="N1936" s="5" t="s">
        <v>10</v>
      </c>
      <c r="O1936" s="5" t="s">
        <v>10</v>
      </c>
      <c r="P1936" s="1" t="s">
        <v>5301</v>
      </c>
      <c r="Q1936" s="1" t="s">
        <v>5302</v>
      </c>
      <c r="R1936" s="1" t="s">
        <v>868</v>
      </c>
      <c r="S1936" s="1" t="s">
        <v>6243</v>
      </c>
      <c r="T1936" s="1">
        <v>94612</v>
      </c>
      <c r="U1936" s="1">
        <v>48201</v>
      </c>
      <c r="V1936" s="1">
        <v>48201</v>
      </c>
      <c r="AH1936" s="1">
        <v>46411</v>
      </c>
      <c r="AI1936" s="1">
        <v>46411</v>
      </c>
    </row>
    <row r="1937" spans="1:39" x14ac:dyDescent="0.2">
      <c r="A1937" s="1" t="s">
        <v>118</v>
      </c>
      <c r="B1937" s="1">
        <v>21946351</v>
      </c>
      <c r="C1937" s="1" t="s">
        <v>7420</v>
      </c>
      <c r="E1937" s="21">
        <v>8</v>
      </c>
      <c r="G1937" s="1" t="s">
        <v>6802</v>
      </c>
      <c r="H1937" s="1" t="s">
        <v>2562</v>
      </c>
      <c r="I1937" s="5">
        <v>40811</v>
      </c>
      <c r="J1937" s="18" t="s">
        <v>10</v>
      </c>
      <c r="K1937" s="15" t="s">
        <v>28</v>
      </c>
      <c r="L1937" s="15" t="s">
        <v>6527</v>
      </c>
      <c r="N1937" s="5" t="s">
        <v>10</v>
      </c>
      <c r="O1937" s="5" t="s">
        <v>10</v>
      </c>
      <c r="P1937" s="1" t="s">
        <v>6061</v>
      </c>
      <c r="Q1937" s="1" t="s">
        <v>6062</v>
      </c>
      <c r="R1937" s="2" t="s">
        <v>6060</v>
      </c>
      <c r="S1937" s="1" t="s">
        <v>6243</v>
      </c>
      <c r="T1937" s="1">
        <v>99741</v>
      </c>
      <c r="U1937" s="1">
        <v>41735</v>
      </c>
      <c r="V1937" s="1">
        <v>41735</v>
      </c>
      <c r="AH1937" s="1">
        <v>58006</v>
      </c>
      <c r="AI1937" s="1">
        <v>58006</v>
      </c>
    </row>
    <row r="1938" spans="1:39" x14ac:dyDescent="0.2">
      <c r="A1938" s="1" t="s">
        <v>3073</v>
      </c>
      <c r="B1938" s="1">
        <v>21947420</v>
      </c>
      <c r="C1938" s="1" t="s">
        <v>7420</v>
      </c>
      <c r="E1938" s="21">
        <v>120</v>
      </c>
      <c r="G1938" s="1" t="s">
        <v>3133</v>
      </c>
      <c r="H1938" s="1" t="s">
        <v>7319</v>
      </c>
      <c r="I1938" s="5">
        <v>40811</v>
      </c>
      <c r="J1938" s="18" t="s">
        <v>11</v>
      </c>
      <c r="K1938" s="1" t="s">
        <v>595</v>
      </c>
      <c r="L1938" s="1" t="s">
        <v>3122</v>
      </c>
      <c r="N1938" s="5" t="s">
        <v>10</v>
      </c>
      <c r="O1938" s="5" t="s">
        <v>10</v>
      </c>
      <c r="P1938" s="1" t="s">
        <v>4003</v>
      </c>
      <c r="Q1938" s="1" t="s">
        <v>5084</v>
      </c>
      <c r="R1938" s="1" t="s">
        <v>4895</v>
      </c>
      <c r="S1938" s="1" t="s">
        <v>6244</v>
      </c>
      <c r="T1938" s="1">
        <v>3355</v>
      </c>
      <c r="U1938" s="1">
        <v>1627</v>
      </c>
      <c r="X1938" s="1">
        <v>1627</v>
      </c>
      <c r="AH1938" s="1">
        <v>1728</v>
      </c>
      <c r="AI1938" s="1">
        <v>1728</v>
      </c>
    </row>
    <row r="1939" spans="1:39" x14ac:dyDescent="0.2">
      <c r="A1939" s="1" t="s">
        <v>3079</v>
      </c>
      <c r="B1939" s="1">
        <v>21949713</v>
      </c>
      <c r="C1939" s="1" t="s">
        <v>7420</v>
      </c>
      <c r="E1939" s="21">
        <v>4422</v>
      </c>
      <c r="F1939" s="17">
        <v>1</v>
      </c>
      <c r="G1939" s="1" t="s">
        <v>3080</v>
      </c>
      <c r="H1939" s="1" t="s">
        <v>7365</v>
      </c>
      <c r="I1939" s="5">
        <v>40802</v>
      </c>
      <c r="J1939" s="18" t="s">
        <v>10</v>
      </c>
      <c r="K1939" s="15" t="s">
        <v>181</v>
      </c>
      <c r="L1939" s="15" t="s">
        <v>6500</v>
      </c>
      <c r="N1939" s="5" t="s">
        <v>10</v>
      </c>
      <c r="O1939" s="5" t="s">
        <v>10</v>
      </c>
      <c r="P1939" s="1" t="s">
        <v>3348</v>
      </c>
      <c r="Q1939" s="1" t="s">
        <v>33</v>
      </c>
      <c r="R1939" s="2" t="s">
        <v>5691</v>
      </c>
      <c r="S1939" s="1" t="s">
        <v>6244</v>
      </c>
      <c r="T1939" s="1">
        <v>131</v>
      </c>
      <c r="U1939" s="1">
        <v>131</v>
      </c>
      <c r="AD1939" s="1">
        <v>131</v>
      </c>
    </row>
    <row r="1940" spans="1:39" x14ac:dyDescent="0.2">
      <c r="A1940" s="1" t="s">
        <v>3076</v>
      </c>
      <c r="B1940" s="1">
        <v>21956439</v>
      </c>
      <c r="C1940" s="1" t="s">
        <v>7420</v>
      </c>
      <c r="E1940" s="21">
        <v>66</v>
      </c>
      <c r="G1940" s="1" t="s">
        <v>968</v>
      </c>
      <c r="H1940" s="1" t="s">
        <v>7207</v>
      </c>
      <c r="I1940" s="5">
        <v>40814</v>
      </c>
      <c r="J1940" s="18" t="s">
        <v>11</v>
      </c>
      <c r="K1940" s="15" t="s">
        <v>1891</v>
      </c>
      <c r="L1940" s="15" t="s">
        <v>6547</v>
      </c>
      <c r="N1940" s="5" t="s">
        <v>10</v>
      </c>
      <c r="O1940" s="5" t="s">
        <v>10</v>
      </c>
      <c r="P1940" s="1" t="s">
        <v>3138</v>
      </c>
      <c r="Q1940" s="1" t="s">
        <v>33</v>
      </c>
      <c r="R1940" s="2" t="s">
        <v>5799</v>
      </c>
      <c r="S1940" s="1" t="s">
        <v>6244</v>
      </c>
      <c r="T1940" s="1">
        <v>4116</v>
      </c>
      <c r="U1940" s="1">
        <v>4116</v>
      </c>
      <c r="V1940" s="1">
        <v>2927</v>
      </c>
      <c r="W1940" s="1">
        <v>1189</v>
      </c>
    </row>
    <row r="1941" spans="1:39" x14ac:dyDescent="0.2">
      <c r="A1941" s="1" t="s">
        <v>3070</v>
      </c>
      <c r="B1941" s="1">
        <v>21957438</v>
      </c>
      <c r="C1941" s="1" t="s">
        <v>7420</v>
      </c>
      <c r="E1941" s="21">
        <v>160</v>
      </c>
      <c r="G1941" s="1" t="s">
        <v>64</v>
      </c>
      <c r="H1941" s="1" t="s">
        <v>7170</v>
      </c>
      <c r="I1941" s="5">
        <v>40807</v>
      </c>
      <c r="J1941" s="18" t="s">
        <v>11</v>
      </c>
      <c r="K1941" s="1" t="s">
        <v>181</v>
      </c>
      <c r="L1941" s="1" t="s">
        <v>3123</v>
      </c>
      <c r="N1941" s="5" t="s">
        <v>10</v>
      </c>
      <c r="O1941" s="5" t="s">
        <v>10</v>
      </c>
      <c r="P1941" s="1" t="s">
        <v>5050</v>
      </c>
      <c r="Q1941" s="1" t="s">
        <v>33</v>
      </c>
      <c r="R1941" s="1" t="s">
        <v>4640</v>
      </c>
      <c r="S1941" s="1" t="s">
        <v>6389</v>
      </c>
      <c r="T1941" s="1">
        <v>3402</v>
      </c>
      <c r="U1941" s="1">
        <v>3402</v>
      </c>
      <c r="V1941" s="1">
        <v>844</v>
      </c>
      <c r="AE1941" s="1">
        <v>2558</v>
      </c>
    </row>
    <row r="1942" spans="1:39" x14ac:dyDescent="0.2">
      <c r="A1942" s="1" t="s">
        <v>3077</v>
      </c>
      <c r="B1942" s="1">
        <v>21961650</v>
      </c>
      <c r="C1942" s="1" t="s">
        <v>7420</v>
      </c>
      <c r="E1942" s="21">
        <v>18</v>
      </c>
      <c r="G1942" s="1" t="s">
        <v>882</v>
      </c>
      <c r="H1942" s="1" t="s">
        <v>7150</v>
      </c>
      <c r="I1942" s="5">
        <v>40819</v>
      </c>
      <c r="J1942" s="18" t="s">
        <v>11</v>
      </c>
      <c r="K1942" s="15" t="s">
        <v>708</v>
      </c>
      <c r="L1942" s="15" t="s">
        <v>6526</v>
      </c>
      <c r="N1942" s="5" t="s">
        <v>10</v>
      </c>
      <c r="O1942" s="5" t="s">
        <v>10</v>
      </c>
      <c r="P1942" s="1" t="s">
        <v>3585</v>
      </c>
      <c r="Q1942" s="1" t="s">
        <v>3586</v>
      </c>
      <c r="R1942" s="2" t="s">
        <v>4540</v>
      </c>
      <c r="S1942" s="1" t="s">
        <v>6243</v>
      </c>
      <c r="T1942" s="1">
        <v>204</v>
      </c>
      <c r="U1942" s="1">
        <v>52</v>
      </c>
      <c r="V1942" s="1">
        <v>52</v>
      </c>
      <c r="AH1942" s="1">
        <v>152</v>
      </c>
      <c r="AI1942" s="1">
        <v>152</v>
      </c>
    </row>
    <row r="1943" spans="1:39" x14ac:dyDescent="0.2">
      <c r="A1943" s="1" t="s">
        <v>2121</v>
      </c>
      <c r="B1943" s="1">
        <v>21964575</v>
      </c>
      <c r="C1943" s="1" t="s">
        <v>7420</v>
      </c>
      <c r="E1943" s="21">
        <v>7</v>
      </c>
      <c r="G1943" s="1" t="s">
        <v>947</v>
      </c>
      <c r="H1943" s="1" t="s">
        <v>6686</v>
      </c>
      <c r="I1943" s="5">
        <v>40818</v>
      </c>
      <c r="J1943" s="18" t="s">
        <v>10</v>
      </c>
      <c r="K1943" s="15" t="s">
        <v>28</v>
      </c>
      <c r="L1943" s="15" t="s">
        <v>6525</v>
      </c>
      <c r="N1943" s="1" t="s">
        <v>11</v>
      </c>
      <c r="O1943" s="1" t="s">
        <v>11</v>
      </c>
      <c r="P1943" s="1" t="s">
        <v>5348</v>
      </c>
      <c r="Q1943" s="1" t="s">
        <v>5349</v>
      </c>
      <c r="R1943" s="2" t="s">
        <v>5796</v>
      </c>
      <c r="S1943" s="1" t="s">
        <v>6243</v>
      </c>
      <c r="T1943" s="1">
        <v>75567</v>
      </c>
      <c r="U1943" s="1">
        <v>42247</v>
      </c>
      <c r="V1943" s="1">
        <v>42247</v>
      </c>
      <c r="AH1943" s="1">
        <v>33320</v>
      </c>
      <c r="AI1943" s="1">
        <v>33320</v>
      </c>
    </row>
    <row r="1944" spans="1:39" x14ac:dyDescent="0.2">
      <c r="A1944" s="1" t="s">
        <v>3078</v>
      </c>
      <c r="B1944" s="1">
        <v>21966275</v>
      </c>
      <c r="C1944" s="1" t="s">
        <v>7420</v>
      </c>
      <c r="E1944" s="21">
        <v>209</v>
      </c>
      <c r="G1944" s="1" t="s">
        <v>165</v>
      </c>
      <c r="H1944" s="1" t="s">
        <v>7192</v>
      </c>
      <c r="I1944" s="5">
        <v>40808</v>
      </c>
      <c r="J1944" s="18" t="s">
        <v>10</v>
      </c>
      <c r="K1944" s="15" t="s">
        <v>65</v>
      </c>
      <c r="L1944" s="15" t="s">
        <v>6509</v>
      </c>
      <c r="N1944" s="5" t="s">
        <v>10</v>
      </c>
      <c r="O1944" s="5" t="s">
        <v>10</v>
      </c>
      <c r="P1944" s="1" t="s">
        <v>6378</v>
      </c>
      <c r="Q1944" s="1" t="s">
        <v>6379</v>
      </c>
      <c r="R1944" s="2" t="s">
        <v>5039</v>
      </c>
      <c r="S1944" s="1" t="s">
        <v>6244</v>
      </c>
      <c r="T1944" s="1">
        <v>108181</v>
      </c>
      <c r="U1944" s="1">
        <v>50587</v>
      </c>
      <c r="V1944" s="1">
        <v>41935</v>
      </c>
      <c r="Y1944" s="1">
        <v>8652</v>
      </c>
      <c r="AH1944" s="1">
        <v>57594</v>
      </c>
      <c r="AI1944" s="1">
        <v>57594</v>
      </c>
    </row>
    <row r="1945" spans="1:39" x14ac:dyDescent="0.2">
      <c r="A1945" s="1" t="s">
        <v>2247</v>
      </c>
      <c r="B1945" s="1">
        <v>21971053</v>
      </c>
      <c r="C1945" s="1" t="s">
        <v>7420</v>
      </c>
      <c r="E1945" s="21">
        <v>869</v>
      </c>
      <c r="G1945" s="1" t="s">
        <v>165</v>
      </c>
      <c r="H1945" s="1" t="s">
        <v>7192</v>
      </c>
      <c r="I1945" s="5">
        <v>40821</v>
      </c>
      <c r="J1945" s="18" t="s">
        <v>11</v>
      </c>
      <c r="K1945" s="15" t="s">
        <v>592</v>
      </c>
      <c r="L1945" s="15" t="s">
        <v>6557</v>
      </c>
      <c r="N1945" s="5" t="s">
        <v>10</v>
      </c>
      <c r="O1945" s="5" t="s">
        <v>10</v>
      </c>
      <c r="P1945" s="1" t="s">
        <v>6380</v>
      </c>
      <c r="Q1945" s="1" t="s">
        <v>6381</v>
      </c>
      <c r="R1945" s="2" t="s">
        <v>5811</v>
      </c>
      <c r="S1945" s="1" t="s">
        <v>6242</v>
      </c>
      <c r="T1945" s="1">
        <v>12071</v>
      </c>
      <c r="U1945" s="1">
        <v>2684</v>
      </c>
      <c r="X1945" s="1">
        <v>2684</v>
      </c>
      <c r="AH1945" s="1">
        <v>9387</v>
      </c>
      <c r="AK1945" s="1">
        <v>9387</v>
      </c>
    </row>
    <row r="1946" spans="1:39" x14ac:dyDescent="0.2">
      <c r="A1946" s="1" t="s">
        <v>3082</v>
      </c>
      <c r="B1946" s="1">
        <v>21977987</v>
      </c>
      <c r="C1946" s="1" t="s">
        <v>7420</v>
      </c>
      <c r="E1946" s="21">
        <v>5</v>
      </c>
      <c r="G1946" s="1" t="s">
        <v>3125</v>
      </c>
      <c r="H1946" s="1" t="s">
        <v>7160</v>
      </c>
      <c r="I1946" s="5">
        <v>40822</v>
      </c>
      <c r="J1946" s="18" t="s">
        <v>11</v>
      </c>
      <c r="K1946" s="15" t="s">
        <v>220</v>
      </c>
      <c r="L1946" s="15" t="s">
        <v>6499</v>
      </c>
      <c r="N1946" s="5" t="s">
        <v>10</v>
      </c>
      <c r="O1946" s="5" t="s">
        <v>10</v>
      </c>
      <c r="P1946" s="1" t="s">
        <v>3584</v>
      </c>
      <c r="Q1946" s="1" t="s">
        <v>33</v>
      </c>
      <c r="R1946" s="2" t="s">
        <v>667</v>
      </c>
      <c r="S1946" s="1" t="s">
        <v>6243</v>
      </c>
      <c r="T1946" s="1">
        <v>5244</v>
      </c>
      <c r="U1946" s="1">
        <v>5244</v>
      </c>
      <c r="V1946" s="1">
        <v>5244</v>
      </c>
    </row>
    <row r="1947" spans="1:39" x14ac:dyDescent="0.2">
      <c r="A1947" s="1" t="s">
        <v>289</v>
      </c>
      <c r="B1947" s="1">
        <v>21979947</v>
      </c>
      <c r="C1947" s="1" t="s">
        <v>7420</v>
      </c>
      <c r="E1947" s="21">
        <v>17</v>
      </c>
      <c r="G1947" s="1" t="s">
        <v>3083</v>
      </c>
      <c r="H1947" s="1" t="s">
        <v>1102</v>
      </c>
      <c r="I1947" s="5">
        <v>40822</v>
      </c>
      <c r="J1947" s="18" t="s">
        <v>11</v>
      </c>
      <c r="K1947" s="15" t="s">
        <v>103</v>
      </c>
      <c r="L1947" s="15" t="s">
        <v>6550</v>
      </c>
      <c r="N1947" s="5" t="s">
        <v>10</v>
      </c>
      <c r="O1947" s="5" t="s">
        <v>10</v>
      </c>
      <c r="P1947" s="1" t="s">
        <v>6125</v>
      </c>
      <c r="Q1947" s="1" t="s">
        <v>6126</v>
      </c>
      <c r="R1947" s="2" t="s">
        <v>5735</v>
      </c>
      <c r="S1947" s="1" t="s">
        <v>6244</v>
      </c>
      <c r="T1947" s="1">
        <v>4645</v>
      </c>
      <c r="U1947" s="1">
        <v>3546</v>
      </c>
      <c r="V1947" s="1">
        <v>3546</v>
      </c>
      <c r="AH1947" s="1">
        <v>1099</v>
      </c>
      <c r="AI1947" s="1">
        <v>1008</v>
      </c>
      <c r="AM1947" s="1">
        <v>91</v>
      </c>
    </row>
    <row r="1948" spans="1:39" x14ac:dyDescent="0.2">
      <c r="A1948" s="1" t="s">
        <v>3084</v>
      </c>
      <c r="B1948" s="1">
        <v>21980299</v>
      </c>
      <c r="C1948" s="1" t="s">
        <v>7420</v>
      </c>
      <c r="E1948" s="21">
        <v>131</v>
      </c>
      <c r="G1948" s="1" t="s">
        <v>155</v>
      </c>
      <c r="H1948" s="1" t="s">
        <v>7400</v>
      </c>
      <c r="I1948" s="5">
        <v>40815</v>
      </c>
      <c r="J1948" s="18" t="s">
        <v>11</v>
      </c>
      <c r="K1948" s="15" t="s">
        <v>65</v>
      </c>
      <c r="L1948" s="15" t="s">
        <v>6508</v>
      </c>
      <c r="N1948" s="5" t="s">
        <v>10</v>
      </c>
      <c r="O1948" s="5" t="s">
        <v>10</v>
      </c>
      <c r="P1948" s="1" t="s">
        <v>6313</v>
      </c>
      <c r="Q1948" s="1" t="s">
        <v>3876</v>
      </c>
      <c r="R1948" s="2" t="s">
        <v>5987</v>
      </c>
      <c r="S1948" s="1" t="s">
        <v>6243</v>
      </c>
      <c r="T1948" s="1">
        <v>30250</v>
      </c>
      <c r="U1948" s="1">
        <v>26890</v>
      </c>
      <c r="V1948" s="1">
        <v>26890</v>
      </c>
      <c r="AH1948" s="1">
        <v>3360</v>
      </c>
      <c r="AI1948" s="1">
        <v>3360</v>
      </c>
    </row>
    <row r="1949" spans="1:39" x14ac:dyDescent="0.2">
      <c r="A1949" s="1" t="s">
        <v>244</v>
      </c>
      <c r="B1949" s="1">
        <v>21980348</v>
      </c>
      <c r="C1949" s="1" t="s">
        <v>7420</v>
      </c>
      <c r="E1949" s="21">
        <v>139</v>
      </c>
      <c r="G1949" s="1" t="s">
        <v>3126</v>
      </c>
      <c r="H1949" s="1" t="s">
        <v>7166</v>
      </c>
      <c r="I1949" s="5">
        <v>40816</v>
      </c>
      <c r="J1949" s="18" t="s">
        <v>11</v>
      </c>
      <c r="K1949" s="15" t="s">
        <v>181</v>
      </c>
      <c r="L1949" s="15" t="s">
        <v>6498</v>
      </c>
      <c r="N1949" s="5" t="s">
        <v>10</v>
      </c>
      <c r="O1949" s="5" t="s">
        <v>10</v>
      </c>
      <c r="P1949" s="1" t="s">
        <v>6314</v>
      </c>
      <c r="Q1949" s="1" t="s">
        <v>6315</v>
      </c>
      <c r="R1949" s="2" t="s">
        <v>4935</v>
      </c>
      <c r="S1949" s="1" t="s">
        <v>6243</v>
      </c>
      <c r="T1949" s="1">
        <v>3302</v>
      </c>
      <c r="U1949" s="1">
        <v>1199</v>
      </c>
      <c r="V1949" s="1">
        <v>1199</v>
      </c>
      <c r="AH1949" s="1">
        <v>2103</v>
      </c>
      <c r="AI1949" s="1">
        <v>2103</v>
      </c>
    </row>
    <row r="1950" spans="1:39" x14ac:dyDescent="0.2">
      <c r="A1950" s="1" t="s">
        <v>3085</v>
      </c>
      <c r="B1950" s="1">
        <v>21980494</v>
      </c>
      <c r="C1950" s="1" t="s">
        <v>7420</v>
      </c>
      <c r="E1950" s="21">
        <v>276</v>
      </c>
      <c r="G1950" s="1" t="s">
        <v>1364</v>
      </c>
      <c r="H1950" s="1" t="s">
        <v>7171</v>
      </c>
      <c r="I1950" s="5">
        <v>40813</v>
      </c>
      <c r="J1950" s="18" t="s">
        <v>11</v>
      </c>
      <c r="K1950" s="15" t="s">
        <v>181</v>
      </c>
      <c r="L1950" s="15" t="s">
        <v>6497</v>
      </c>
      <c r="N1950" s="5" t="s">
        <v>10</v>
      </c>
      <c r="O1950" s="5" t="s">
        <v>10</v>
      </c>
      <c r="P1950" s="1" t="s">
        <v>3752</v>
      </c>
      <c r="Q1950" s="1" t="s">
        <v>4130</v>
      </c>
      <c r="R1950" s="2" t="s">
        <v>3903</v>
      </c>
      <c r="S1950" s="1" t="s">
        <v>6243</v>
      </c>
      <c r="T1950" s="1">
        <v>6851</v>
      </c>
      <c r="U1950" s="1">
        <v>2652</v>
      </c>
      <c r="V1950" s="1">
        <v>2652</v>
      </c>
      <c r="AH1950" s="1">
        <v>4199</v>
      </c>
      <c r="AI1950" s="1">
        <v>4199</v>
      </c>
    </row>
    <row r="1951" spans="1:39" x14ac:dyDescent="0.2">
      <c r="A1951" s="1" t="s">
        <v>1940</v>
      </c>
      <c r="B1951" s="1">
        <v>21981779</v>
      </c>
      <c r="C1951" s="1" t="s">
        <v>7420</v>
      </c>
      <c r="E1951" s="21">
        <v>111</v>
      </c>
      <c r="G1951" s="1" t="s">
        <v>7083</v>
      </c>
      <c r="H1951" s="1" t="s">
        <v>2563</v>
      </c>
      <c r="I1951" s="5">
        <v>40823</v>
      </c>
      <c r="J1951" s="18" t="s">
        <v>11</v>
      </c>
      <c r="K1951" s="15" t="s">
        <v>16</v>
      </c>
      <c r="L1951" s="15" t="s">
        <v>6520</v>
      </c>
      <c r="N1951" s="5" t="s">
        <v>10</v>
      </c>
      <c r="O1951" s="5" t="s">
        <v>10</v>
      </c>
      <c r="P1951" s="1" t="s">
        <v>6316</v>
      </c>
      <c r="Q1951" s="1" t="s">
        <v>6382</v>
      </c>
      <c r="R1951" s="2" t="s">
        <v>4183</v>
      </c>
      <c r="S1951" s="1" t="s">
        <v>6243</v>
      </c>
      <c r="T1951" s="1">
        <v>13881</v>
      </c>
      <c r="U1951" s="1">
        <v>12002</v>
      </c>
      <c r="V1951" s="1">
        <v>12002</v>
      </c>
      <c r="AH1951" s="1">
        <v>1879</v>
      </c>
      <c r="AI1951" s="1">
        <v>1879</v>
      </c>
    </row>
    <row r="1952" spans="1:39" x14ac:dyDescent="0.2">
      <c r="A1952" s="1" t="s">
        <v>3086</v>
      </c>
      <c r="B1952" s="1">
        <v>21983785</v>
      </c>
      <c r="C1952" s="1" t="s">
        <v>7420</v>
      </c>
      <c r="E1952" s="21">
        <v>16</v>
      </c>
      <c r="G1952" s="1" t="s">
        <v>6866</v>
      </c>
      <c r="H1952" s="1" t="s">
        <v>2562</v>
      </c>
      <c r="I1952" s="5">
        <v>40825</v>
      </c>
      <c r="J1952" s="18" t="s">
        <v>11</v>
      </c>
      <c r="K1952" s="15" t="s">
        <v>28</v>
      </c>
      <c r="L1952" s="15" t="s">
        <v>6524</v>
      </c>
      <c r="N1952" s="5" t="s">
        <v>10</v>
      </c>
      <c r="O1952" s="5" t="s">
        <v>10</v>
      </c>
      <c r="P1952" s="1" t="s">
        <v>6317</v>
      </c>
      <c r="Q1952" s="1" t="s">
        <v>6383</v>
      </c>
      <c r="R1952" s="2" t="s">
        <v>6048</v>
      </c>
      <c r="S1952" s="1" t="s">
        <v>6243</v>
      </c>
      <c r="T1952" s="1">
        <v>26892</v>
      </c>
      <c r="U1952" s="1">
        <v>6555</v>
      </c>
      <c r="V1952" s="1">
        <v>6555</v>
      </c>
      <c r="AH1952" s="1">
        <v>20337</v>
      </c>
      <c r="AI1952" s="1">
        <v>20337</v>
      </c>
    </row>
    <row r="1953" spans="1:37" x14ac:dyDescent="0.2">
      <c r="A1953" s="1" t="s">
        <v>279</v>
      </c>
      <c r="B1953" s="1">
        <v>21983786</v>
      </c>
      <c r="C1953" s="1" t="s">
        <v>7420</v>
      </c>
      <c r="E1953" s="21">
        <v>87</v>
      </c>
      <c r="G1953" s="1" t="s">
        <v>6732</v>
      </c>
      <c r="H1953" s="1" t="s">
        <v>7328</v>
      </c>
      <c r="I1953" s="5">
        <v>40825</v>
      </c>
      <c r="J1953" s="18" t="s">
        <v>10</v>
      </c>
      <c r="K1953" s="15" t="s">
        <v>28</v>
      </c>
      <c r="L1953" s="15" t="s">
        <v>6523</v>
      </c>
      <c r="N1953" s="5" t="s">
        <v>10</v>
      </c>
      <c r="O1953" s="5" t="s">
        <v>10</v>
      </c>
      <c r="P1953" s="1" t="s">
        <v>5425</v>
      </c>
      <c r="Q1953" s="1" t="s">
        <v>5426</v>
      </c>
      <c r="R1953" s="2" t="s">
        <v>6030</v>
      </c>
      <c r="S1953" s="1" t="s">
        <v>6243</v>
      </c>
      <c r="T1953" s="1">
        <v>62264</v>
      </c>
      <c r="U1953" s="1">
        <v>58149</v>
      </c>
      <c r="V1953" s="1">
        <v>58149</v>
      </c>
      <c r="AH1953" s="1">
        <v>4115</v>
      </c>
      <c r="AI1953" s="1">
        <v>4115</v>
      </c>
    </row>
    <row r="1954" spans="1:37" x14ac:dyDescent="0.2">
      <c r="A1954" s="1" t="s">
        <v>1177</v>
      </c>
      <c r="B1954" s="1">
        <v>21983787</v>
      </c>
      <c r="C1954" s="1" t="s">
        <v>7420</v>
      </c>
      <c r="E1954" s="21">
        <v>32</v>
      </c>
      <c r="G1954" s="1" t="s">
        <v>6866</v>
      </c>
      <c r="H1954" s="1" t="s">
        <v>2562</v>
      </c>
      <c r="I1954" s="5">
        <v>40825</v>
      </c>
      <c r="J1954" s="18" t="s">
        <v>11</v>
      </c>
      <c r="K1954" s="1" t="s">
        <v>28</v>
      </c>
      <c r="L1954" s="1" t="s">
        <v>3229</v>
      </c>
      <c r="N1954" s="5" t="s">
        <v>10</v>
      </c>
      <c r="O1954" s="5" t="s">
        <v>10</v>
      </c>
      <c r="P1954" s="1" t="s">
        <v>5189</v>
      </c>
      <c r="Q1954" s="1" t="s">
        <v>5190</v>
      </c>
      <c r="R1954" s="1" t="s">
        <v>4448</v>
      </c>
      <c r="S1954" s="1" t="s">
        <v>6243</v>
      </c>
      <c r="T1954" s="1">
        <v>23422</v>
      </c>
      <c r="U1954" s="1">
        <v>10422</v>
      </c>
      <c r="V1954" s="1">
        <v>10422</v>
      </c>
      <c r="AH1954" s="1">
        <v>13000</v>
      </c>
      <c r="AI1954" s="1">
        <v>13000</v>
      </c>
    </row>
    <row r="1955" spans="1:37" x14ac:dyDescent="0.2">
      <c r="A1955" s="1" t="s">
        <v>3087</v>
      </c>
      <c r="B1955" s="1">
        <v>21989058</v>
      </c>
      <c r="C1955" s="1" t="s">
        <v>7420</v>
      </c>
      <c r="E1955" s="21">
        <v>9</v>
      </c>
      <c r="G1955" s="1" t="s">
        <v>3127</v>
      </c>
      <c r="H1955" s="1" t="s">
        <v>6682</v>
      </c>
      <c r="I1955" s="5">
        <v>40827</v>
      </c>
      <c r="J1955" s="18" t="s">
        <v>11</v>
      </c>
      <c r="K1955" s="15" t="s">
        <v>103</v>
      </c>
      <c r="L1955" s="15" t="s">
        <v>6549</v>
      </c>
      <c r="N1955" s="1" t="s">
        <v>11</v>
      </c>
      <c r="O1955" s="1" t="s">
        <v>11</v>
      </c>
      <c r="P1955" s="1" t="s">
        <v>3139</v>
      </c>
      <c r="Q1955" s="1" t="s">
        <v>3140</v>
      </c>
      <c r="R1955" s="2" t="s">
        <v>4233</v>
      </c>
      <c r="S1955" s="1" t="s">
        <v>6242</v>
      </c>
      <c r="T1955" s="1">
        <v>2486</v>
      </c>
      <c r="U1955" s="1">
        <v>1286</v>
      </c>
      <c r="X1955" s="1">
        <v>1286</v>
      </c>
      <c r="AH1955" s="1">
        <v>1200</v>
      </c>
      <c r="AK1955" s="1">
        <v>1200</v>
      </c>
    </row>
    <row r="1956" spans="1:37" x14ac:dyDescent="0.2">
      <c r="A1956" s="1" t="s">
        <v>3088</v>
      </c>
      <c r="B1956" s="1">
        <v>21990027</v>
      </c>
      <c r="C1956" s="1" t="s">
        <v>7420</v>
      </c>
      <c r="E1956" s="21">
        <v>41</v>
      </c>
      <c r="G1956" s="1" t="s">
        <v>7049</v>
      </c>
      <c r="H1956" s="1" t="s">
        <v>7196</v>
      </c>
      <c r="I1956" s="5">
        <v>40827</v>
      </c>
      <c r="J1956" s="18" t="s">
        <v>11</v>
      </c>
      <c r="K1956" s="15" t="s">
        <v>43</v>
      </c>
      <c r="L1956" s="15" t="s">
        <v>6537</v>
      </c>
      <c r="N1956" s="5" t="s">
        <v>10</v>
      </c>
      <c r="O1956" s="5" t="s">
        <v>10</v>
      </c>
      <c r="P1956" s="1" t="s">
        <v>6393</v>
      </c>
      <c r="Q1956" s="1" t="s">
        <v>33</v>
      </c>
      <c r="R1956" s="2" t="s">
        <v>6454</v>
      </c>
      <c r="S1956" s="1" t="s">
        <v>6389</v>
      </c>
      <c r="T1956" s="1">
        <v>409</v>
      </c>
      <c r="U1956" s="1">
        <v>409</v>
      </c>
      <c r="V1956" s="1">
        <v>368</v>
      </c>
      <c r="AE1956" s="1">
        <v>41</v>
      </c>
    </row>
    <row r="1957" spans="1:37" x14ac:dyDescent="0.2">
      <c r="A1957" s="1" t="s">
        <v>3090</v>
      </c>
      <c r="B1957" s="1">
        <v>21991891</v>
      </c>
      <c r="C1957" s="1" t="s">
        <v>7420</v>
      </c>
      <c r="E1957" s="21">
        <v>14</v>
      </c>
      <c r="G1957" s="1" t="s">
        <v>3129</v>
      </c>
      <c r="H1957" s="1" t="s">
        <v>7055</v>
      </c>
      <c r="I1957" s="5">
        <v>40815</v>
      </c>
      <c r="J1957" s="18" t="s">
        <v>11</v>
      </c>
      <c r="K1957" s="15" t="s">
        <v>157</v>
      </c>
      <c r="L1957" s="15" t="s">
        <v>6515</v>
      </c>
      <c r="N1957" s="5" t="s">
        <v>10</v>
      </c>
      <c r="O1957" s="5" t="s">
        <v>10</v>
      </c>
      <c r="P1957" s="1" t="s">
        <v>3645</v>
      </c>
      <c r="Q1957" s="1" t="s">
        <v>3646</v>
      </c>
      <c r="R1957" s="2" t="s">
        <v>4704</v>
      </c>
      <c r="S1957" s="1" t="s">
        <v>6243</v>
      </c>
      <c r="T1957" s="1">
        <v>2144</v>
      </c>
      <c r="U1957" s="1">
        <v>1209</v>
      </c>
      <c r="V1957" s="1">
        <v>1209</v>
      </c>
      <c r="AH1957" s="1">
        <v>935</v>
      </c>
      <c r="AI1957" s="1">
        <v>935</v>
      </c>
    </row>
    <row r="1958" spans="1:37" x14ac:dyDescent="0.2">
      <c r="A1958" s="1" t="s">
        <v>3089</v>
      </c>
      <c r="B1958" s="1">
        <v>21993531</v>
      </c>
      <c r="C1958" s="1" t="s">
        <v>7420</v>
      </c>
      <c r="E1958" s="21">
        <v>536</v>
      </c>
      <c r="G1958" s="1" t="s">
        <v>3128</v>
      </c>
      <c r="H1958" s="1" t="s">
        <v>1813</v>
      </c>
      <c r="I1958" s="5">
        <v>40829</v>
      </c>
      <c r="J1958" s="18" t="s">
        <v>11</v>
      </c>
      <c r="K1958" s="15" t="s">
        <v>1850</v>
      </c>
      <c r="L1958" s="15" t="s">
        <v>6554</v>
      </c>
      <c r="N1958" s="5" t="s">
        <v>10</v>
      </c>
      <c r="O1958" s="5" t="s">
        <v>10</v>
      </c>
      <c r="P1958" s="1" t="s">
        <v>3748</v>
      </c>
      <c r="Q1958" s="1" t="s">
        <v>33</v>
      </c>
      <c r="R1958" s="2" t="s">
        <v>3141</v>
      </c>
      <c r="S1958" s="1" t="s">
        <v>6243</v>
      </c>
      <c r="T1958" s="1">
        <v>2134</v>
      </c>
      <c r="U1958" s="1">
        <v>2134</v>
      </c>
      <c r="V1958" s="1">
        <v>2134</v>
      </c>
    </row>
    <row r="1959" spans="1:37" x14ac:dyDescent="0.2">
      <c r="A1959" s="1" t="s">
        <v>3091</v>
      </c>
      <c r="B1959" s="1">
        <v>21996601</v>
      </c>
      <c r="C1959" s="1" t="s">
        <v>7420</v>
      </c>
      <c r="E1959" s="21">
        <v>15</v>
      </c>
      <c r="G1959" s="1" t="s">
        <v>2196</v>
      </c>
      <c r="H1959" s="1" t="s">
        <v>7222</v>
      </c>
      <c r="I1959" s="5">
        <v>40827</v>
      </c>
      <c r="J1959" s="18" t="s">
        <v>11</v>
      </c>
      <c r="K1959" s="15" t="s">
        <v>3001</v>
      </c>
      <c r="L1959" s="15" t="s">
        <v>6496</v>
      </c>
      <c r="N1959" s="5" t="s">
        <v>10</v>
      </c>
      <c r="O1959" s="5" t="s">
        <v>10</v>
      </c>
      <c r="P1959" s="1" t="s">
        <v>6237</v>
      </c>
      <c r="Q1959" s="1" t="s">
        <v>33</v>
      </c>
      <c r="R1959" s="6" t="s">
        <v>6451</v>
      </c>
      <c r="S1959" s="1" t="s">
        <v>6243</v>
      </c>
      <c r="T1959" s="1">
        <v>977</v>
      </c>
      <c r="U1959" s="1">
        <v>977</v>
      </c>
      <c r="V1959" s="1">
        <v>977</v>
      </c>
    </row>
    <row r="1960" spans="1:37" x14ac:dyDescent="0.2">
      <c r="A1960" s="1" t="s">
        <v>3092</v>
      </c>
      <c r="B1960" s="1">
        <v>21998595</v>
      </c>
      <c r="C1960" s="1" t="s">
        <v>7420</v>
      </c>
      <c r="E1960" s="21">
        <v>245</v>
      </c>
      <c r="G1960" s="1" t="s">
        <v>197</v>
      </c>
      <c r="H1960" s="1" t="s">
        <v>7270</v>
      </c>
      <c r="I1960" s="5">
        <v>40822</v>
      </c>
      <c r="J1960" s="18" t="s">
        <v>11</v>
      </c>
      <c r="K1960" s="15" t="s">
        <v>65</v>
      </c>
      <c r="L1960" s="15" t="s">
        <v>6519</v>
      </c>
      <c r="N1960" s="5" t="s">
        <v>10</v>
      </c>
      <c r="O1960" s="5" t="s">
        <v>10</v>
      </c>
      <c r="P1960" s="1" t="s">
        <v>6318</v>
      </c>
      <c r="Q1960" s="1" t="s">
        <v>4667</v>
      </c>
      <c r="R1960" s="2" t="s">
        <v>6059</v>
      </c>
      <c r="S1960" s="1" t="s">
        <v>6440</v>
      </c>
      <c r="T1960" s="1">
        <v>36863</v>
      </c>
      <c r="U1960" s="1">
        <v>20427</v>
      </c>
      <c r="W1960" s="1">
        <v>20427</v>
      </c>
      <c r="AH1960" s="1">
        <v>16436</v>
      </c>
      <c r="AJ1960" s="1">
        <v>16436</v>
      </c>
    </row>
    <row r="1961" spans="1:37" x14ac:dyDescent="0.2">
      <c r="A1961" s="1" t="s">
        <v>3093</v>
      </c>
      <c r="B1961" s="1">
        <v>21998597</v>
      </c>
      <c r="C1961" s="1" t="s">
        <v>7420</v>
      </c>
      <c r="E1961" s="21">
        <v>10</v>
      </c>
      <c r="G1961" s="1" t="s">
        <v>6731</v>
      </c>
      <c r="H1961" s="1" t="s">
        <v>7325</v>
      </c>
      <c r="I1961" s="5">
        <v>40822</v>
      </c>
      <c r="J1961" s="18" t="s">
        <v>11</v>
      </c>
      <c r="K1961" s="15" t="s">
        <v>65</v>
      </c>
      <c r="L1961" s="15" t="s">
        <v>6518</v>
      </c>
      <c r="N1961" s="1" t="s">
        <v>11</v>
      </c>
      <c r="O1961" s="1" t="s">
        <v>11</v>
      </c>
      <c r="P1961" s="1" t="s">
        <v>6319</v>
      </c>
      <c r="Q1961" s="1" t="s">
        <v>6384</v>
      </c>
      <c r="R1961" s="2" t="s">
        <v>6461</v>
      </c>
      <c r="S1961" s="1" t="s">
        <v>6243</v>
      </c>
      <c r="T1961" s="1">
        <v>14429</v>
      </c>
      <c r="U1961" s="1">
        <v>8938</v>
      </c>
      <c r="V1961" s="1">
        <v>8938</v>
      </c>
      <c r="AH1961" s="1">
        <v>5491</v>
      </c>
      <c r="AI1961" s="1">
        <v>5491</v>
      </c>
    </row>
    <row r="1962" spans="1:37" x14ac:dyDescent="0.2">
      <c r="A1962" s="1" t="s">
        <v>2162</v>
      </c>
      <c r="B1962" s="1">
        <v>22001756</v>
      </c>
      <c r="C1962" s="1" t="s">
        <v>7420</v>
      </c>
      <c r="E1962" s="21">
        <v>85</v>
      </c>
      <c r="G1962" s="1" t="s">
        <v>6593</v>
      </c>
      <c r="H1962" s="1" t="s">
        <v>6620</v>
      </c>
      <c r="I1962" s="5">
        <v>40832</v>
      </c>
      <c r="J1962" s="18" t="s">
        <v>11</v>
      </c>
      <c r="K1962" s="1" t="s">
        <v>28</v>
      </c>
      <c r="L1962" s="1" t="s">
        <v>3230</v>
      </c>
      <c r="N1962" s="5" t="s">
        <v>10</v>
      </c>
      <c r="O1962" s="5" t="s">
        <v>10</v>
      </c>
      <c r="P1962" s="1" t="s">
        <v>4192</v>
      </c>
      <c r="Q1962" s="1" t="s">
        <v>4193</v>
      </c>
      <c r="R1962" s="1" t="s">
        <v>5729</v>
      </c>
      <c r="S1962" s="1" t="s">
        <v>6242</v>
      </c>
      <c r="T1962" s="1">
        <v>8697</v>
      </c>
      <c r="U1962" s="1">
        <v>4026</v>
      </c>
      <c r="X1962" s="1">
        <v>4026</v>
      </c>
      <c r="AH1962" s="1">
        <v>4671</v>
      </c>
      <c r="AK1962" s="1">
        <v>4671</v>
      </c>
    </row>
    <row r="1963" spans="1:37" x14ac:dyDescent="0.2">
      <c r="A1963" s="1" t="s">
        <v>1121</v>
      </c>
      <c r="B1963" s="1">
        <v>22001757</v>
      </c>
      <c r="C1963" s="1" t="s">
        <v>7420</v>
      </c>
      <c r="E1963" s="21">
        <v>325</v>
      </c>
      <c r="G1963" s="1" t="s">
        <v>6860</v>
      </c>
      <c r="H1963" s="1" t="s">
        <v>7290</v>
      </c>
      <c r="I1963" s="5">
        <v>40832</v>
      </c>
      <c r="J1963" s="18" t="s">
        <v>11</v>
      </c>
      <c r="K1963" s="1" t="s">
        <v>28</v>
      </c>
      <c r="L1963" s="1" t="s">
        <v>3231</v>
      </c>
      <c r="N1963" s="5" t="s">
        <v>10</v>
      </c>
      <c r="O1963" s="5" t="s">
        <v>10</v>
      </c>
      <c r="P1963" s="1" t="s">
        <v>5450</v>
      </c>
      <c r="Q1963" s="1" t="s">
        <v>33</v>
      </c>
      <c r="R1963" s="1" t="s">
        <v>5937</v>
      </c>
      <c r="S1963" s="1" t="s">
        <v>6244</v>
      </c>
      <c r="T1963" s="1">
        <v>61089</v>
      </c>
      <c r="U1963" s="1">
        <v>61089</v>
      </c>
      <c r="V1963" s="1">
        <v>52350</v>
      </c>
      <c r="Y1963" s="1">
        <v>8739</v>
      </c>
    </row>
    <row r="1964" spans="1:37" x14ac:dyDescent="0.2">
      <c r="A1964" s="1" t="s">
        <v>2373</v>
      </c>
      <c r="B1964" s="1">
        <v>22003120</v>
      </c>
      <c r="C1964" s="1" t="s">
        <v>7420</v>
      </c>
      <c r="E1964" s="21">
        <v>4</v>
      </c>
      <c r="G1964" s="1" t="s">
        <v>3083</v>
      </c>
      <c r="H1964" s="1" t="s">
        <v>1102</v>
      </c>
      <c r="I1964" s="5">
        <v>40830</v>
      </c>
      <c r="J1964" s="18" t="s">
        <v>11</v>
      </c>
      <c r="K1964" s="1" t="s">
        <v>3232</v>
      </c>
      <c r="L1964" s="1" t="s">
        <v>3233</v>
      </c>
      <c r="N1964" s="5" t="s">
        <v>10</v>
      </c>
      <c r="O1964" s="5" t="s">
        <v>10</v>
      </c>
      <c r="P1964" s="1" t="s">
        <v>5250</v>
      </c>
      <c r="Q1964" s="1" t="s">
        <v>5251</v>
      </c>
      <c r="R1964" s="1" t="s">
        <v>4580</v>
      </c>
      <c r="S1964" s="1" t="s">
        <v>6243</v>
      </c>
      <c r="T1964" s="1">
        <v>5098</v>
      </c>
      <c r="U1964" s="1">
        <v>3781</v>
      </c>
      <c r="V1964" s="1">
        <v>3781</v>
      </c>
      <c r="AH1964" s="1">
        <v>1317</v>
      </c>
      <c r="AI1964" s="1">
        <v>1317</v>
      </c>
    </row>
    <row r="1965" spans="1:37" x14ac:dyDescent="0.2">
      <c r="A1965" s="1" t="s">
        <v>3094</v>
      </c>
      <c r="B1965" s="1">
        <v>22003152</v>
      </c>
      <c r="C1965" s="1" t="s">
        <v>7420</v>
      </c>
      <c r="E1965" s="21">
        <v>119</v>
      </c>
      <c r="G1965" s="1" t="s">
        <v>3130</v>
      </c>
      <c r="H1965" s="1" t="s">
        <v>7289</v>
      </c>
      <c r="I1965" s="5">
        <v>40830</v>
      </c>
      <c r="J1965" s="18" t="s">
        <v>11</v>
      </c>
      <c r="K1965" s="15" t="s">
        <v>1881</v>
      </c>
      <c r="L1965" s="15" t="s">
        <v>6546</v>
      </c>
      <c r="N1965" s="5" t="s">
        <v>10</v>
      </c>
      <c r="O1965" s="5" t="s">
        <v>10</v>
      </c>
      <c r="P1965" s="1" t="s">
        <v>3742</v>
      </c>
      <c r="Q1965" s="1" t="s">
        <v>33</v>
      </c>
      <c r="R1965" s="2" t="s">
        <v>6460</v>
      </c>
      <c r="S1965" s="1" t="s">
        <v>6243</v>
      </c>
      <c r="T1965" s="1">
        <v>13664</v>
      </c>
      <c r="U1965" s="1">
        <v>13664</v>
      </c>
      <c r="V1965" s="1">
        <v>13664</v>
      </c>
    </row>
    <row r="1966" spans="1:37" x14ac:dyDescent="0.2">
      <c r="A1966" s="1" t="s">
        <v>45</v>
      </c>
      <c r="B1966" s="1">
        <v>22004137</v>
      </c>
      <c r="C1966" s="1" t="s">
        <v>7420</v>
      </c>
      <c r="E1966" s="21">
        <v>10</v>
      </c>
      <c r="G1966" s="1" t="s">
        <v>3440</v>
      </c>
      <c r="H1966" s="1" t="s">
        <v>7121</v>
      </c>
      <c r="I1966" s="5">
        <v>40817</v>
      </c>
      <c r="J1966" s="18" t="s">
        <v>11</v>
      </c>
      <c r="K1966" s="15" t="s">
        <v>6570</v>
      </c>
      <c r="L1966" s="15" t="s">
        <v>6517</v>
      </c>
      <c r="N1966" s="5" t="s">
        <v>10</v>
      </c>
      <c r="O1966" s="5" t="s">
        <v>10</v>
      </c>
      <c r="P1966" s="1" t="s">
        <v>3434</v>
      </c>
      <c r="Q1966" s="1" t="s">
        <v>3435</v>
      </c>
      <c r="R1966" s="2" t="s">
        <v>5980</v>
      </c>
      <c r="S1966" s="1" t="s">
        <v>6242</v>
      </c>
      <c r="T1966" s="1">
        <v>2787</v>
      </c>
      <c r="U1966" s="1">
        <v>2357</v>
      </c>
      <c r="X1966" s="1">
        <v>2357</v>
      </c>
      <c r="AH1966" s="1">
        <v>430</v>
      </c>
      <c r="AK1966" s="1">
        <v>430</v>
      </c>
    </row>
    <row r="1967" spans="1:37" x14ac:dyDescent="0.2">
      <c r="A1967" s="1" t="s">
        <v>3095</v>
      </c>
      <c r="B1967" s="1">
        <v>22004471</v>
      </c>
      <c r="C1967" s="1" t="s">
        <v>7420</v>
      </c>
      <c r="E1967" s="21">
        <v>14</v>
      </c>
      <c r="G1967" s="1" t="s">
        <v>968</v>
      </c>
      <c r="H1967" s="1" t="s">
        <v>7208</v>
      </c>
      <c r="I1967" s="5">
        <v>40834</v>
      </c>
      <c r="J1967" s="18" t="s">
        <v>11</v>
      </c>
      <c r="K1967" s="1" t="s">
        <v>2709</v>
      </c>
      <c r="L1967" s="1" t="s">
        <v>3234</v>
      </c>
      <c r="N1967" s="1" t="s">
        <v>11</v>
      </c>
      <c r="O1967" s="1" t="s">
        <v>7019</v>
      </c>
      <c r="P1967" s="1" t="s">
        <v>6697</v>
      </c>
      <c r="Q1967" s="1" t="s">
        <v>6098</v>
      </c>
      <c r="R1967" s="2" t="s">
        <v>5693</v>
      </c>
      <c r="S1967" s="1" t="s">
        <v>6243</v>
      </c>
      <c r="T1967" s="1">
        <v>3501</v>
      </c>
      <c r="U1967" s="1">
        <v>3501</v>
      </c>
      <c r="V1967" s="1">
        <v>3501</v>
      </c>
    </row>
    <row r="1968" spans="1:37" x14ac:dyDescent="0.2">
      <c r="A1968" s="1" t="s">
        <v>289</v>
      </c>
      <c r="B1968" s="1">
        <v>22004975</v>
      </c>
      <c r="C1968" s="1" t="s">
        <v>7420</v>
      </c>
      <c r="E1968" s="21">
        <v>9</v>
      </c>
      <c r="G1968" s="1" t="s">
        <v>218</v>
      </c>
      <c r="H1968" s="1" t="s">
        <v>7376</v>
      </c>
      <c r="I1968" s="5">
        <v>40833</v>
      </c>
      <c r="J1968" s="18" t="s">
        <v>11</v>
      </c>
      <c r="K1968" s="15" t="s">
        <v>6571</v>
      </c>
      <c r="L1968" s="15" t="s">
        <v>6545</v>
      </c>
      <c r="N1968" s="5" t="s">
        <v>10</v>
      </c>
      <c r="O1968" s="5" t="s">
        <v>10</v>
      </c>
      <c r="P1968" s="1" t="s">
        <v>3436</v>
      </c>
      <c r="Q1968" s="1" t="s">
        <v>3437</v>
      </c>
      <c r="R1968" s="2" t="s">
        <v>5983</v>
      </c>
      <c r="S1968" s="1" t="s">
        <v>6242</v>
      </c>
      <c r="T1968" s="1">
        <v>10881</v>
      </c>
      <c r="U1968" s="1">
        <v>2805</v>
      </c>
      <c r="X1968" s="1">
        <v>2805</v>
      </c>
      <c r="AH1968" s="1">
        <v>8076</v>
      </c>
      <c r="AK1968" s="1">
        <v>8076</v>
      </c>
    </row>
    <row r="1969" spans="1:44" x14ac:dyDescent="0.2">
      <c r="A1969" s="1" t="s">
        <v>2278</v>
      </c>
      <c r="B1969" s="1">
        <v>22005930</v>
      </c>
      <c r="C1969" s="1" t="s">
        <v>7420</v>
      </c>
      <c r="E1969" s="21">
        <v>5139</v>
      </c>
      <c r="G1969" s="1" t="s">
        <v>3096</v>
      </c>
      <c r="H1969" s="1" t="s">
        <v>7124</v>
      </c>
      <c r="I1969" s="5">
        <v>40834</v>
      </c>
      <c r="J1969" s="18" t="s">
        <v>11</v>
      </c>
      <c r="K1969" s="1" t="s">
        <v>71</v>
      </c>
      <c r="L1969" s="1" t="s">
        <v>3235</v>
      </c>
      <c r="N1969" s="5" t="s">
        <v>10</v>
      </c>
      <c r="O1969" s="5" t="s">
        <v>10</v>
      </c>
      <c r="P1969" s="1" t="s">
        <v>6420</v>
      </c>
      <c r="Q1969" s="1" t="s">
        <v>33</v>
      </c>
      <c r="R1969" s="1" t="s">
        <v>5690</v>
      </c>
      <c r="S1969" s="1" t="s">
        <v>6244</v>
      </c>
      <c r="T1969" s="1">
        <v>7693</v>
      </c>
      <c r="U1969" s="1">
        <v>7693</v>
      </c>
      <c r="V1969" s="1">
        <v>7679</v>
      </c>
      <c r="W1969" s="1">
        <v>12</v>
      </c>
      <c r="AA1969" s="1">
        <v>2</v>
      </c>
    </row>
    <row r="1970" spans="1:44" x14ac:dyDescent="0.2">
      <c r="A1970" s="1" t="s">
        <v>3097</v>
      </c>
      <c r="B1970" s="1">
        <v>22005931</v>
      </c>
      <c r="C1970" s="1" t="s">
        <v>7420</v>
      </c>
      <c r="E1970" s="21">
        <v>227</v>
      </c>
      <c r="G1970" s="1" t="s">
        <v>6584</v>
      </c>
      <c r="H1970" s="1" t="s">
        <v>7126</v>
      </c>
      <c r="I1970" s="5">
        <v>40834</v>
      </c>
      <c r="J1970" s="18" t="s">
        <v>11</v>
      </c>
      <c r="K1970" s="1" t="s">
        <v>71</v>
      </c>
      <c r="L1970" s="1" t="s">
        <v>3236</v>
      </c>
      <c r="N1970" s="5" t="s">
        <v>10</v>
      </c>
      <c r="O1970" s="5" t="s">
        <v>10</v>
      </c>
      <c r="P1970" s="1" t="s">
        <v>6107</v>
      </c>
      <c r="Q1970" s="1" t="s">
        <v>6385</v>
      </c>
      <c r="R1970" s="2" t="s">
        <v>6046</v>
      </c>
      <c r="S1970" s="1" t="s">
        <v>6389</v>
      </c>
      <c r="T1970" s="1">
        <v>3412</v>
      </c>
      <c r="U1970" s="1">
        <v>1190</v>
      </c>
      <c r="V1970" s="1">
        <v>1190</v>
      </c>
      <c r="AH1970" s="1">
        <v>2222</v>
      </c>
      <c r="AR1970" s="1">
        <v>2222</v>
      </c>
    </row>
    <row r="1971" spans="1:44" x14ac:dyDescent="0.2">
      <c r="A1971" s="1" t="s">
        <v>3098</v>
      </c>
      <c r="B1971" s="1">
        <v>22006096</v>
      </c>
      <c r="C1971" s="1" t="s">
        <v>7420</v>
      </c>
      <c r="E1971" s="21">
        <v>0</v>
      </c>
      <c r="F1971" s="17">
        <v>1</v>
      </c>
      <c r="G1971" s="1" t="s">
        <v>2418</v>
      </c>
      <c r="H1971" s="1" t="s">
        <v>7359</v>
      </c>
      <c r="I1971" s="5">
        <v>40834</v>
      </c>
      <c r="J1971" s="18" t="s">
        <v>10</v>
      </c>
      <c r="K1971" s="15" t="s">
        <v>113</v>
      </c>
      <c r="L1971" s="15" t="s">
        <v>6521</v>
      </c>
      <c r="N1971" s="5" t="s">
        <v>10</v>
      </c>
      <c r="O1971" s="5" t="s">
        <v>10</v>
      </c>
      <c r="P1971" s="1" t="s">
        <v>5129</v>
      </c>
      <c r="Q1971" s="2" t="s">
        <v>5130</v>
      </c>
      <c r="R1971" s="1" t="s">
        <v>5699</v>
      </c>
      <c r="S1971" s="1" t="s">
        <v>6243</v>
      </c>
      <c r="T1971" s="1">
        <v>576</v>
      </c>
      <c r="U1971" s="1">
        <v>149</v>
      </c>
      <c r="V1971" s="1">
        <v>149</v>
      </c>
      <c r="AH1971" s="1">
        <v>427</v>
      </c>
      <c r="AI1971" s="1">
        <v>427</v>
      </c>
    </row>
    <row r="1972" spans="1:44" x14ac:dyDescent="0.2">
      <c r="A1972" s="1" t="s">
        <v>1808</v>
      </c>
      <c r="B1972" s="1">
        <v>22006218</v>
      </c>
      <c r="C1972" s="1" t="s">
        <v>7420</v>
      </c>
      <c r="E1972" s="21">
        <v>32</v>
      </c>
      <c r="G1972" s="1" t="s">
        <v>7115</v>
      </c>
      <c r="H1972" s="1" t="s">
        <v>7156</v>
      </c>
      <c r="I1972" s="5">
        <v>40834</v>
      </c>
      <c r="J1972" s="18" t="s">
        <v>11</v>
      </c>
      <c r="K1972" s="1" t="s">
        <v>595</v>
      </c>
      <c r="L1972" s="1" t="s">
        <v>3237</v>
      </c>
      <c r="N1972" s="5" t="s">
        <v>10</v>
      </c>
      <c r="O1972" s="5" t="s">
        <v>10</v>
      </c>
      <c r="P1972" s="1" t="s">
        <v>4856</v>
      </c>
      <c r="Q1972" s="1" t="s">
        <v>5398</v>
      </c>
      <c r="R1972" s="1" t="s">
        <v>5919</v>
      </c>
      <c r="S1972" s="1" t="s">
        <v>6244</v>
      </c>
      <c r="T1972" s="1">
        <v>10879</v>
      </c>
      <c r="U1972" s="1">
        <v>8842</v>
      </c>
      <c r="X1972" s="1">
        <v>8842</v>
      </c>
      <c r="AH1972" s="1">
        <v>2037</v>
      </c>
      <c r="AI1972" s="1">
        <v>671</v>
      </c>
      <c r="AJ1972" s="1">
        <v>1366</v>
      </c>
    </row>
    <row r="1973" spans="1:44" x14ac:dyDescent="0.2">
      <c r="A1973" s="1" t="s">
        <v>1220</v>
      </c>
      <c r="B1973" s="1">
        <v>22006220</v>
      </c>
      <c r="C1973" s="1" t="s">
        <v>7420</v>
      </c>
      <c r="D1973" s="1">
        <v>1</v>
      </c>
      <c r="E1973" s="21">
        <v>0</v>
      </c>
      <c r="F1973" s="17">
        <v>1</v>
      </c>
      <c r="G1973" s="1" t="s">
        <v>6831</v>
      </c>
      <c r="H1973" s="1" t="s">
        <v>7349</v>
      </c>
      <c r="I1973" s="5">
        <v>40834</v>
      </c>
      <c r="J1973" s="18" t="s">
        <v>10</v>
      </c>
      <c r="K1973" s="15" t="s">
        <v>595</v>
      </c>
      <c r="L1973" s="15" t="s">
        <v>6563</v>
      </c>
      <c r="N1973" s="5" t="s">
        <v>10</v>
      </c>
      <c r="O1973" s="5" t="s">
        <v>10</v>
      </c>
      <c r="P1973" s="1" t="s">
        <v>5261</v>
      </c>
      <c r="Q1973" s="1" t="s">
        <v>5262</v>
      </c>
      <c r="R1973" s="1" t="s">
        <v>6057</v>
      </c>
      <c r="S1973" s="1" t="s">
        <v>6389</v>
      </c>
      <c r="T1973" s="1">
        <v>10920</v>
      </c>
      <c r="U1973" s="1">
        <v>9380</v>
      </c>
      <c r="V1973" s="1">
        <v>9270</v>
      </c>
      <c r="AE1973" s="1">
        <v>110</v>
      </c>
      <c r="AH1973" s="1">
        <v>1540</v>
      </c>
      <c r="AI1973" s="1">
        <v>1540</v>
      </c>
    </row>
    <row r="1974" spans="1:44" x14ac:dyDescent="0.2">
      <c r="A1974" s="1" t="s">
        <v>1515</v>
      </c>
      <c r="B1974" s="1">
        <v>22010048</v>
      </c>
      <c r="C1974" s="1" t="s">
        <v>7420</v>
      </c>
      <c r="E1974" s="21">
        <v>57</v>
      </c>
      <c r="G1974" s="1" t="s">
        <v>2087</v>
      </c>
      <c r="H1974" s="1" t="s">
        <v>2088</v>
      </c>
      <c r="I1974" s="5">
        <v>40834</v>
      </c>
      <c r="J1974" s="18" t="s">
        <v>11</v>
      </c>
      <c r="K1974" s="1" t="s">
        <v>103</v>
      </c>
      <c r="L1974" s="1" t="s">
        <v>3238</v>
      </c>
      <c r="N1974" s="5" t="s">
        <v>10</v>
      </c>
      <c r="O1974" s="5" t="s">
        <v>10</v>
      </c>
      <c r="P1974" s="1" t="s">
        <v>6078</v>
      </c>
      <c r="Q1974" s="1" t="s">
        <v>6079</v>
      </c>
      <c r="R1974" s="2" t="s">
        <v>5818</v>
      </c>
      <c r="S1974" s="1" t="s">
        <v>6243</v>
      </c>
      <c r="T1974" s="1">
        <v>14687</v>
      </c>
      <c r="U1974" s="1">
        <v>2410</v>
      </c>
      <c r="V1974" s="1">
        <v>2410</v>
      </c>
      <c r="AH1974" s="1">
        <v>12277</v>
      </c>
      <c r="AI1974" s="1">
        <v>12277</v>
      </c>
    </row>
    <row r="1975" spans="1:44" x14ac:dyDescent="0.2">
      <c r="A1975" s="1" t="s">
        <v>2665</v>
      </c>
      <c r="B1975" s="1">
        <v>22010049</v>
      </c>
      <c r="C1975" s="1" t="s">
        <v>7420</v>
      </c>
      <c r="E1975" s="21">
        <v>257</v>
      </c>
      <c r="G1975" s="1" t="s">
        <v>6717</v>
      </c>
      <c r="H1975" s="1" t="s">
        <v>7262</v>
      </c>
      <c r="I1975" s="5">
        <v>40834</v>
      </c>
      <c r="J1975" s="18" t="s">
        <v>11</v>
      </c>
      <c r="K1975" s="1" t="s">
        <v>103</v>
      </c>
      <c r="L1975" s="1" t="s">
        <v>3239</v>
      </c>
      <c r="N1975" s="5" t="s">
        <v>10</v>
      </c>
      <c r="O1975" s="5" t="s">
        <v>10</v>
      </c>
      <c r="P1975" s="1" t="s">
        <v>5118</v>
      </c>
      <c r="Q1975" s="1" t="s">
        <v>33</v>
      </c>
      <c r="R1975" s="1" t="s">
        <v>5024</v>
      </c>
      <c r="S1975" s="1" t="s">
        <v>6243</v>
      </c>
      <c r="T1975" s="1">
        <v>12526</v>
      </c>
      <c r="U1975" s="1">
        <v>12526</v>
      </c>
      <c r="V1975" s="1">
        <v>12526</v>
      </c>
    </row>
    <row r="1976" spans="1:44" x14ac:dyDescent="0.2">
      <c r="A1976" s="1" t="s">
        <v>315</v>
      </c>
      <c r="B1976" s="1">
        <v>22012869</v>
      </c>
      <c r="C1976" s="1" t="s">
        <v>7420</v>
      </c>
      <c r="E1976" s="21">
        <v>79</v>
      </c>
      <c r="G1976" s="1" t="s">
        <v>591</v>
      </c>
      <c r="H1976" s="1" t="s">
        <v>7127</v>
      </c>
      <c r="I1976" s="5">
        <v>40835</v>
      </c>
      <c r="J1976" s="18" t="s">
        <v>11</v>
      </c>
      <c r="K1976" s="1" t="s">
        <v>43</v>
      </c>
      <c r="L1976" s="1" t="s">
        <v>3240</v>
      </c>
      <c r="N1976" s="5" t="s">
        <v>10</v>
      </c>
      <c r="O1976" s="5" t="s">
        <v>10</v>
      </c>
      <c r="P1976" s="1" t="s">
        <v>5306</v>
      </c>
      <c r="Q1976" s="1" t="s">
        <v>6386</v>
      </c>
      <c r="R1976" s="1" t="s">
        <v>5773</v>
      </c>
      <c r="S1976" s="1" t="s">
        <v>6243</v>
      </c>
      <c r="T1976" s="1">
        <v>6169</v>
      </c>
      <c r="U1976" s="1">
        <v>1795</v>
      </c>
      <c r="V1976" s="1">
        <v>1795</v>
      </c>
      <c r="AH1976" s="1">
        <v>4374</v>
      </c>
      <c r="AI1976" s="1">
        <v>4374</v>
      </c>
    </row>
    <row r="1977" spans="1:44" x14ac:dyDescent="0.2">
      <c r="A1977" s="1" t="s">
        <v>3099</v>
      </c>
      <c r="B1977" s="1">
        <v>22013104</v>
      </c>
      <c r="C1977" s="1" t="s">
        <v>7420</v>
      </c>
      <c r="E1977" s="21">
        <v>29</v>
      </c>
      <c r="G1977" s="1" t="s">
        <v>6887</v>
      </c>
      <c r="H1977" s="1" t="s">
        <v>7301</v>
      </c>
      <c r="I1977" s="5">
        <v>40835</v>
      </c>
      <c r="J1977" s="18" t="s">
        <v>11</v>
      </c>
      <c r="K1977" s="1" t="s">
        <v>1316</v>
      </c>
      <c r="L1977" s="1" t="s">
        <v>3241</v>
      </c>
      <c r="N1977" s="5" t="s">
        <v>10</v>
      </c>
      <c r="O1977" s="5" t="s">
        <v>10</v>
      </c>
      <c r="P1977" s="1" t="s">
        <v>5337</v>
      </c>
      <c r="Q1977" s="1" t="s">
        <v>33</v>
      </c>
      <c r="R1977" s="1" t="s">
        <v>5792</v>
      </c>
      <c r="S1977" s="1" t="s">
        <v>6243</v>
      </c>
      <c r="T1977" s="1">
        <v>598</v>
      </c>
      <c r="U1977" s="1">
        <v>598</v>
      </c>
      <c r="V1977" s="1">
        <v>598</v>
      </c>
    </row>
    <row r="1978" spans="1:44" x14ac:dyDescent="0.2">
      <c r="A1978" s="1" t="s">
        <v>1220</v>
      </c>
      <c r="B1978" s="1">
        <v>22019778</v>
      </c>
      <c r="C1978" s="1" t="s">
        <v>7420</v>
      </c>
      <c r="E1978" s="21">
        <v>29</v>
      </c>
      <c r="G1978" s="1" t="s">
        <v>1221</v>
      </c>
      <c r="H1978" s="1" t="s">
        <v>1222</v>
      </c>
      <c r="I1978" s="5">
        <v>40839</v>
      </c>
      <c r="J1978" s="18" t="s">
        <v>11</v>
      </c>
      <c r="K1978" s="1" t="s">
        <v>28</v>
      </c>
      <c r="L1978" s="1" t="s">
        <v>3242</v>
      </c>
      <c r="N1978" s="5" t="s">
        <v>10</v>
      </c>
      <c r="O1978" s="5" t="s">
        <v>10</v>
      </c>
      <c r="P1978" s="1" t="s">
        <v>4594</v>
      </c>
      <c r="Q1978" s="1" t="s">
        <v>4595</v>
      </c>
      <c r="R1978" s="1" t="s">
        <v>6442</v>
      </c>
      <c r="S1978" s="1" t="s">
        <v>6242</v>
      </c>
      <c r="T1978" s="1">
        <v>14887</v>
      </c>
      <c r="U1978" s="1">
        <v>6287</v>
      </c>
      <c r="X1978" s="1">
        <v>6287</v>
      </c>
      <c r="AH1978" s="1">
        <v>8600</v>
      </c>
      <c r="AK1978" s="1">
        <v>8600</v>
      </c>
    </row>
    <row r="1979" spans="1:44" x14ac:dyDescent="0.2">
      <c r="A1979" s="1" t="s">
        <v>2653</v>
      </c>
      <c r="B1979" s="1">
        <v>22019779</v>
      </c>
      <c r="C1979" s="1" t="s">
        <v>7420</v>
      </c>
      <c r="E1979" s="21">
        <v>18</v>
      </c>
      <c r="G1979" s="1" t="s">
        <v>7042</v>
      </c>
      <c r="H1979" s="1" t="s">
        <v>7044</v>
      </c>
      <c r="I1979" s="5">
        <v>40839</v>
      </c>
      <c r="J1979" s="18" t="s">
        <v>11</v>
      </c>
      <c r="K1979" s="1" t="s">
        <v>28</v>
      </c>
      <c r="L1979" s="1" t="s">
        <v>3243</v>
      </c>
      <c r="N1979" s="1" t="s">
        <v>11</v>
      </c>
      <c r="O1979" s="1" t="s">
        <v>11</v>
      </c>
      <c r="P1979" s="1" t="s">
        <v>3959</v>
      </c>
      <c r="Q1979" s="1" t="s">
        <v>4891</v>
      </c>
      <c r="R1979" s="1" t="s">
        <v>5676</v>
      </c>
      <c r="S1979" s="1" t="s">
        <v>6242</v>
      </c>
      <c r="T1979" s="1">
        <v>12655</v>
      </c>
      <c r="U1979" s="1">
        <v>2506</v>
      </c>
      <c r="X1979" s="1">
        <v>2506</v>
      </c>
      <c r="AH1979" s="1">
        <v>10149</v>
      </c>
      <c r="AK1979" s="1">
        <v>10149</v>
      </c>
    </row>
    <row r="1980" spans="1:44" x14ac:dyDescent="0.2">
      <c r="A1980" s="1" t="s">
        <v>3142</v>
      </c>
      <c r="B1980" s="1">
        <v>22020760</v>
      </c>
      <c r="C1980" s="1" t="s">
        <v>7420</v>
      </c>
      <c r="E1980" s="21">
        <v>9</v>
      </c>
      <c r="G1980" s="1" t="s">
        <v>7072</v>
      </c>
      <c r="H1980" s="1" t="s">
        <v>7133</v>
      </c>
      <c r="I1980" s="5">
        <v>40837</v>
      </c>
      <c r="J1980" s="18" t="s">
        <v>11</v>
      </c>
      <c r="K1980" s="1" t="s">
        <v>3244</v>
      </c>
      <c r="L1980" s="1" t="s">
        <v>3245</v>
      </c>
      <c r="N1980" s="5" t="s">
        <v>10</v>
      </c>
      <c r="O1980" s="5" t="s">
        <v>10</v>
      </c>
      <c r="P1980" s="1" t="s">
        <v>3462</v>
      </c>
      <c r="Q1980" s="1" t="s">
        <v>3463</v>
      </c>
      <c r="R1980" s="1" t="s">
        <v>5924</v>
      </c>
      <c r="S1980" s="1" t="s">
        <v>6242</v>
      </c>
      <c r="T1980" s="1">
        <v>343</v>
      </c>
      <c r="U1980" s="1">
        <v>96</v>
      </c>
      <c r="X1980" s="1">
        <v>96</v>
      </c>
      <c r="AH1980" s="1">
        <v>247</v>
      </c>
      <c r="AK1980" s="1">
        <v>247</v>
      </c>
    </row>
    <row r="1981" spans="1:44" x14ac:dyDescent="0.2">
      <c r="A1981" s="1" t="s">
        <v>3143</v>
      </c>
      <c r="B1981" s="1">
        <v>22021425</v>
      </c>
      <c r="C1981" s="1" t="s">
        <v>7420</v>
      </c>
      <c r="E1981" s="21">
        <v>312</v>
      </c>
      <c r="G1981" s="1" t="s">
        <v>197</v>
      </c>
      <c r="H1981" s="1" t="s">
        <v>7271</v>
      </c>
      <c r="I1981" s="5">
        <v>40837</v>
      </c>
      <c r="J1981" s="18" t="s">
        <v>11</v>
      </c>
      <c r="K1981" s="1" t="s">
        <v>103</v>
      </c>
      <c r="L1981" s="1" t="s">
        <v>3246</v>
      </c>
      <c r="N1981" s="1" t="s">
        <v>11</v>
      </c>
      <c r="O1981" s="1" t="s">
        <v>10</v>
      </c>
      <c r="P1981" s="1" t="s">
        <v>4851</v>
      </c>
      <c r="Q1981" s="1" t="s">
        <v>5481</v>
      </c>
      <c r="R1981" s="1" t="s">
        <v>5917</v>
      </c>
      <c r="S1981" s="1" t="s">
        <v>6440</v>
      </c>
      <c r="T1981" s="1">
        <v>28958</v>
      </c>
      <c r="U1981" s="1">
        <v>8149</v>
      </c>
      <c r="W1981" s="1">
        <v>8149</v>
      </c>
      <c r="AH1981" s="1">
        <v>20809</v>
      </c>
      <c r="AJ1981" s="1">
        <v>20809</v>
      </c>
    </row>
    <row r="1982" spans="1:44" x14ac:dyDescent="0.2">
      <c r="A1982" s="1" t="s">
        <v>3144</v>
      </c>
      <c r="B1982" s="1">
        <v>22022282</v>
      </c>
      <c r="C1982" s="1" t="s">
        <v>7420</v>
      </c>
      <c r="E1982" s="21">
        <v>136</v>
      </c>
      <c r="G1982" s="1" t="s">
        <v>3405</v>
      </c>
      <c r="H1982" s="1" t="s">
        <v>7284</v>
      </c>
      <c r="I1982" s="5">
        <v>40829</v>
      </c>
      <c r="J1982" s="18" t="s">
        <v>10</v>
      </c>
      <c r="K1982" s="15" t="s">
        <v>65</v>
      </c>
      <c r="L1982" s="15" t="s">
        <v>6516</v>
      </c>
      <c r="N1982" s="5" t="s">
        <v>10</v>
      </c>
      <c r="O1982" s="5" t="s">
        <v>10</v>
      </c>
      <c r="P1982" s="1" t="s">
        <v>5460</v>
      </c>
      <c r="Q1982" s="1" t="s">
        <v>33</v>
      </c>
      <c r="R1982" s="1" t="s">
        <v>5959</v>
      </c>
      <c r="S1982" s="1" t="s">
        <v>6244</v>
      </c>
      <c r="T1982" s="1">
        <v>25755</v>
      </c>
      <c r="U1982" s="1">
        <v>25755</v>
      </c>
      <c r="V1982" s="1">
        <v>19468</v>
      </c>
      <c r="W1982" s="1">
        <v>6287</v>
      </c>
    </row>
    <row r="1983" spans="1:44" x14ac:dyDescent="0.2">
      <c r="A1983" s="1" t="s">
        <v>3145</v>
      </c>
      <c r="B1983" s="1">
        <v>22027014</v>
      </c>
      <c r="C1983" s="1" t="s">
        <v>7420</v>
      </c>
      <c r="E1983" s="21">
        <v>8</v>
      </c>
      <c r="G1983" s="1" t="s">
        <v>128</v>
      </c>
      <c r="H1983" s="1" t="s">
        <v>7126</v>
      </c>
      <c r="I1983" s="5">
        <v>40841</v>
      </c>
      <c r="J1983" s="18" t="s">
        <v>10</v>
      </c>
      <c r="K1983" s="15" t="s">
        <v>1080</v>
      </c>
      <c r="L1983" s="15" t="s">
        <v>6542</v>
      </c>
      <c r="N1983" s="5" t="s">
        <v>10</v>
      </c>
      <c r="O1983" s="5" t="s">
        <v>10</v>
      </c>
      <c r="P1983" s="9" t="s">
        <v>3663</v>
      </c>
      <c r="Q1983" s="1" t="s">
        <v>3664</v>
      </c>
      <c r="R1983" s="1" t="s">
        <v>6042</v>
      </c>
      <c r="S1983" s="1" t="s">
        <v>6243</v>
      </c>
      <c r="T1983" s="1">
        <v>19052</v>
      </c>
      <c r="U1983" s="1">
        <v>17313</v>
      </c>
      <c r="V1983" s="1">
        <v>17313</v>
      </c>
      <c r="AH1983" s="1">
        <v>1739</v>
      </c>
      <c r="AI1983" s="1">
        <v>1739</v>
      </c>
    </row>
    <row r="1984" spans="1:44" x14ac:dyDescent="0.2">
      <c r="A1984" s="1" t="s">
        <v>3146</v>
      </c>
      <c r="B1984" s="1">
        <v>22027810</v>
      </c>
      <c r="C1984" s="1" t="s">
        <v>7420</v>
      </c>
      <c r="E1984" s="21">
        <v>93</v>
      </c>
      <c r="G1984" s="1" t="s">
        <v>1579</v>
      </c>
      <c r="H1984" s="1" t="s">
        <v>571</v>
      </c>
      <c r="I1984" s="5">
        <v>40842</v>
      </c>
      <c r="J1984" s="18" t="s">
        <v>11</v>
      </c>
      <c r="K1984" s="1" t="s">
        <v>592</v>
      </c>
      <c r="L1984" s="1" t="s">
        <v>3247</v>
      </c>
      <c r="N1984" s="5" t="s">
        <v>10</v>
      </c>
      <c r="O1984" s="5" t="s">
        <v>10</v>
      </c>
      <c r="P1984" s="1" t="s">
        <v>5374</v>
      </c>
      <c r="Q1984" s="1" t="s">
        <v>5375</v>
      </c>
      <c r="R1984" s="1" t="s">
        <v>5803</v>
      </c>
      <c r="S1984" s="1" t="s">
        <v>6243</v>
      </c>
      <c r="T1984" s="1">
        <v>4397</v>
      </c>
      <c r="U1984" s="1">
        <v>1385</v>
      </c>
      <c r="V1984" s="1">
        <v>1385</v>
      </c>
      <c r="AH1984" s="1">
        <v>3012</v>
      </c>
      <c r="AI1984" s="1">
        <v>3012</v>
      </c>
    </row>
    <row r="1985" spans="1:43" x14ac:dyDescent="0.2">
      <c r="A1985" s="1" t="s">
        <v>3147</v>
      </c>
      <c r="B1985" s="1">
        <v>22029572</v>
      </c>
      <c r="C1985" s="1" t="s">
        <v>7420</v>
      </c>
      <c r="E1985" s="21">
        <v>10</v>
      </c>
      <c r="G1985" s="1" t="s">
        <v>6590</v>
      </c>
      <c r="H1985" s="1" t="s">
        <v>7184</v>
      </c>
      <c r="I1985" s="5">
        <v>40842</v>
      </c>
      <c r="J1985" s="18" t="s">
        <v>11</v>
      </c>
      <c r="K1985" s="1" t="s">
        <v>220</v>
      </c>
      <c r="L1985" s="1" t="s">
        <v>3248</v>
      </c>
      <c r="N1985" s="5" t="s">
        <v>10</v>
      </c>
      <c r="O1985" s="5" t="s">
        <v>10</v>
      </c>
      <c r="P1985" s="1" t="s">
        <v>5098</v>
      </c>
      <c r="Q1985" s="1" t="s">
        <v>33</v>
      </c>
      <c r="R1985" s="1" t="s">
        <v>5849</v>
      </c>
      <c r="S1985" s="1" t="s">
        <v>6243</v>
      </c>
      <c r="T1985" s="1">
        <v>1772</v>
      </c>
      <c r="U1985" s="1">
        <v>1772</v>
      </c>
      <c r="V1985" s="1">
        <v>1772</v>
      </c>
    </row>
    <row r="1986" spans="1:43" x14ac:dyDescent="0.2">
      <c r="A1986" s="1" t="s">
        <v>3148</v>
      </c>
      <c r="B1986" s="1">
        <v>22030708</v>
      </c>
      <c r="C1986" s="1" t="s">
        <v>7420</v>
      </c>
      <c r="E1986" s="21">
        <v>304</v>
      </c>
      <c r="G1986" s="1" t="s">
        <v>7048</v>
      </c>
      <c r="H1986" s="1" t="s">
        <v>7047</v>
      </c>
      <c r="I1986" s="5">
        <v>40842</v>
      </c>
      <c r="J1986" s="18" t="s">
        <v>11</v>
      </c>
      <c r="K1986" s="1" t="s">
        <v>1891</v>
      </c>
      <c r="L1986" s="1" t="s">
        <v>3249</v>
      </c>
      <c r="N1986" s="5" t="s">
        <v>10</v>
      </c>
      <c r="O1986" s="5" t="s">
        <v>10</v>
      </c>
      <c r="P1986" s="1" t="s">
        <v>5271</v>
      </c>
      <c r="Q1986" s="1" t="s">
        <v>5272</v>
      </c>
      <c r="R1986" s="1" t="s">
        <v>5763</v>
      </c>
      <c r="S1986" s="1" t="s">
        <v>6243</v>
      </c>
      <c r="T1986" s="1">
        <v>898</v>
      </c>
      <c r="U1986" s="1">
        <v>397</v>
      </c>
      <c r="V1986" s="1">
        <v>397</v>
      </c>
      <c r="AH1986" s="1">
        <v>501</v>
      </c>
      <c r="AI1986" s="1">
        <v>501</v>
      </c>
    </row>
    <row r="1987" spans="1:43" x14ac:dyDescent="0.2">
      <c r="A1987" s="1" t="s">
        <v>3149</v>
      </c>
      <c r="B1987" s="1">
        <v>22032556</v>
      </c>
      <c r="C1987" s="1" t="s">
        <v>7420</v>
      </c>
      <c r="E1987" s="21">
        <v>20</v>
      </c>
      <c r="G1987" s="1" t="s">
        <v>6708</v>
      </c>
      <c r="H1987" s="1" t="s">
        <v>6698</v>
      </c>
      <c r="I1987" s="5">
        <v>40843</v>
      </c>
      <c r="J1987" s="18" t="s">
        <v>10</v>
      </c>
      <c r="K1987" s="1" t="s">
        <v>3250</v>
      </c>
      <c r="L1987" s="1" t="s">
        <v>3251</v>
      </c>
      <c r="N1987" s="1" t="s">
        <v>11</v>
      </c>
      <c r="O1987" s="1" t="s">
        <v>11</v>
      </c>
      <c r="P1987" s="1" t="s">
        <v>5333</v>
      </c>
      <c r="Q1987" s="1" t="s">
        <v>5334</v>
      </c>
      <c r="R1987" s="1" t="s">
        <v>5790</v>
      </c>
      <c r="S1987" s="1" t="s">
        <v>6243</v>
      </c>
      <c r="T1987" s="1">
        <v>1810</v>
      </c>
      <c r="U1987" s="1">
        <v>1198</v>
      </c>
      <c r="V1987" s="1">
        <v>1198</v>
      </c>
      <c r="AH1987" s="1">
        <v>612</v>
      </c>
      <c r="AI1987" s="1">
        <v>612</v>
      </c>
    </row>
    <row r="1988" spans="1:43" x14ac:dyDescent="0.2">
      <c r="A1988" s="1" t="s">
        <v>3150</v>
      </c>
      <c r="B1988" s="1">
        <v>22036096</v>
      </c>
      <c r="C1988" s="1" t="s">
        <v>7420</v>
      </c>
      <c r="E1988" s="21">
        <v>227</v>
      </c>
      <c r="G1988" s="1" t="s">
        <v>6586</v>
      </c>
      <c r="H1988" s="1" t="s">
        <v>6588</v>
      </c>
      <c r="I1988" s="12">
        <v>40848</v>
      </c>
      <c r="J1988" s="18" t="s">
        <v>11</v>
      </c>
      <c r="K1988" s="1" t="s">
        <v>1169</v>
      </c>
      <c r="L1988" s="1" t="s">
        <v>3252</v>
      </c>
      <c r="N1988" s="5" t="s">
        <v>10</v>
      </c>
      <c r="O1988" s="5" t="s">
        <v>10</v>
      </c>
      <c r="P1988" s="1" t="s">
        <v>5241</v>
      </c>
      <c r="Q1988" s="1" t="s">
        <v>33</v>
      </c>
      <c r="R1988" s="1" t="s">
        <v>4745</v>
      </c>
      <c r="S1988" s="1" t="s">
        <v>6243</v>
      </c>
      <c r="T1988" s="1">
        <v>12898</v>
      </c>
      <c r="U1988" s="1">
        <v>12898</v>
      </c>
      <c r="V1988" s="1">
        <v>12898</v>
      </c>
    </row>
    <row r="1989" spans="1:43" x14ac:dyDescent="0.2">
      <c r="A1989" s="1" t="s">
        <v>1298</v>
      </c>
      <c r="B1989" s="1">
        <v>22037551</v>
      </c>
      <c r="C1989" s="1" t="s">
        <v>7420</v>
      </c>
      <c r="E1989" s="21">
        <v>62</v>
      </c>
      <c r="G1989" s="1" t="s">
        <v>6879</v>
      </c>
      <c r="H1989" s="1" t="s">
        <v>6611</v>
      </c>
      <c r="I1989" s="5">
        <v>40846</v>
      </c>
      <c r="J1989" s="18" t="s">
        <v>11</v>
      </c>
      <c r="K1989" s="1" t="s">
        <v>28</v>
      </c>
      <c r="L1989" s="1" t="s">
        <v>3253</v>
      </c>
      <c r="N1989" s="5" t="s">
        <v>10</v>
      </c>
      <c r="O1989" s="5" t="s">
        <v>10</v>
      </c>
      <c r="P1989" s="1" t="s">
        <v>4165</v>
      </c>
      <c r="Q1989" s="1" t="s">
        <v>4323</v>
      </c>
      <c r="R1989" s="1" t="s">
        <v>5831</v>
      </c>
      <c r="S1989" s="1" t="s">
        <v>6242</v>
      </c>
      <c r="T1989" s="1">
        <v>10176</v>
      </c>
      <c r="U1989" s="1">
        <v>3279</v>
      </c>
      <c r="X1989" s="1">
        <v>3279</v>
      </c>
      <c r="AH1989" s="1">
        <v>6897</v>
      </c>
      <c r="AK1989" s="1">
        <v>6897</v>
      </c>
    </row>
    <row r="1990" spans="1:43" x14ac:dyDescent="0.2">
      <c r="A1990" s="1" t="s">
        <v>3151</v>
      </c>
      <c r="B1990" s="1">
        <v>22037552</v>
      </c>
      <c r="C1990" s="1" t="s">
        <v>7420</v>
      </c>
      <c r="E1990" s="21">
        <v>55</v>
      </c>
      <c r="G1990" s="1" t="s">
        <v>74</v>
      </c>
      <c r="H1990" s="1" t="s">
        <v>2545</v>
      </c>
      <c r="I1990" s="5">
        <v>40846</v>
      </c>
      <c r="J1990" s="18" t="s">
        <v>11</v>
      </c>
      <c r="K1990" s="1" t="s">
        <v>28</v>
      </c>
      <c r="L1990" s="1" t="s">
        <v>3254</v>
      </c>
      <c r="N1990" s="5" t="s">
        <v>10</v>
      </c>
      <c r="O1990" s="5" t="s">
        <v>10</v>
      </c>
      <c r="P1990" s="1" t="s">
        <v>4106</v>
      </c>
      <c r="Q1990" s="1" t="s">
        <v>4598</v>
      </c>
      <c r="R1990" s="1" t="s">
        <v>5806</v>
      </c>
      <c r="S1990" s="1" t="s">
        <v>6242</v>
      </c>
      <c r="T1990" s="1">
        <v>11975</v>
      </c>
      <c r="U1990" s="1">
        <v>2345</v>
      </c>
      <c r="X1990" s="1">
        <v>2345</v>
      </c>
      <c r="AH1990" s="1">
        <v>9630</v>
      </c>
      <c r="AK1990" s="1">
        <v>9630</v>
      </c>
    </row>
    <row r="1991" spans="1:43" x14ac:dyDescent="0.2">
      <c r="A1991" s="1" t="s">
        <v>2364</v>
      </c>
      <c r="B1991" s="1">
        <v>22037553</v>
      </c>
      <c r="C1991" s="1" t="s">
        <v>7420</v>
      </c>
      <c r="E1991" s="21">
        <v>8</v>
      </c>
      <c r="G1991" s="1" t="s">
        <v>6595</v>
      </c>
      <c r="H1991" s="1" t="s">
        <v>6675</v>
      </c>
      <c r="I1991" s="5">
        <v>40846</v>
      </c>
      <c r="J1991" s="18" t="s">
        <v>11</v>
      </c>
      <c r="K1991" s="1" t="s">
        <v>28</v>
      </c>
      <c r="L1991" s="1" t="s">
        <v>3255</v>
      </c>
      <c r="N1991" s="1" t="s">
        <v>11</v>
      </c>
      <c r="O1991" s="1" t="s">
        <v>11</v>
      </c>
      <c r="P1991" s="1" t="s">
        <v>5455</v>
      </c>
      <c r="Q1991" s="1" t="s">
        <v>5045</v>
      </c>
      <c r="R1991" s="1" t="s">
        <v>5674</v>
      </c>
      <c r="S1991" s="1" t="s">
        <v>6244</v>
      </c>
      <c r="T1991" s="1">
        <v>27722</v>
      </c>
      <c r="U1991" s="1">
        <v>9137</v>
      </c>
      <c r="V1991" s="1">
        <v>5388</v>
      </c>
      <c r="W1991" s="1">
        <v>3749</v>
      </c>
      <c r="AH1991" s="1">
        <v>18585</v>
      </c>
      <c r="AI1991" s="1">
        <v>18585</v>
      </c>
    </row>
    <row r="1992" spans="1:43" x14ac:dyDescent="0.2">
      <c r="A1992" s="1" t="s">
        <v>1298</v>
      </c>
      <c r="B1992" s="1">
        <v>22037555</v>
      </c>
      <c r="C1992" s="1" t="s">
        <v>7420</v>
      </c>
      <c r="E1992" s="21">
        <v>177</v>
      </c>
      <c r="G1992" s="1" t="s">
        <v>74</v>
      </c>
      <c r="H1992" s="1" t="s">
        <v>2545</v>
      </c>
      <c r="I1992" s="5">
        <v>40846</v>
      </c>
      <c r="J1992" s="18" t="s">
        <v>11</v>
      </c>
      <c r="K1992" s="1" t="s">
        <v>28</v>
      </c>
      <c r="L1992" s="1" t="s">
        <v>3256</v>
      </c>
      <c r="N1992" s="5" t="s">
        <v>10</v>
      </c>
      <c r="O1992" s="5" t="s">
        <v>10</v>
      </c>
      <c r="P1992" s="1" t="s">
        <v>4671</v>
      </c>
      <c r="Q1992" s="1" t="s">
        <v>4456</v>
      </c>
      <c r="R1992" s="1" t="s">
        <v>5878</v>
      </c>
      <c r="S1992" s="1" t="s">
        <v>6242</v>
      </c>
      <c r="T1992" s="1">
        <v>19140</v>
      </c>
      <c r="U1992" s="1">
        <v>10218</v>
      </c>
      <c r="X1992" s="1">
        <v>10218</v>
      </c>
      <c r="AH1992" s="1">
        <v>8922</v>
      </c>
      <c r="AK1992" s="1">
        <v>8922</v>
      </c>
    </row>
    <row r="1993" spans="1:43" x14ac:dyDescent="0.2">
      <c r="A1993" s="1" t="s">
        <v>3152</v>
      </c>
      <c r="B1993" s="1">
        <v>22037903</v>
      </c>
      <c r="C1993" s="1" t="s">
        <v>7420</v>
      </c>
      <c r="E1993" s="21">
        <v>7</v>
      </c>
      <c r="G1993" s="1" t="s">
        <v>6981</v>
      </c>
      <c r="H1993" s="1" t="s">
        <v>7216</v>
      </c>
      <c r="I1993" s="5">
        <v>40846</v>
      </c>
      <c r="J1993" s="18" t="s">
        <v>11</v>
      </c>
      <c r="K1993" s="1" t="s">
        <v>595</v>
      </c>
      <c r="L1993" s="1" t="s">
        <v>3257</v>
      </c>
      <c r="N1993" s="5" t="s">
        <v>10</v>
      </c>
      <c r="O1993" s="5" t="s">
        <v>10</v>
      </c>
      <c r="P1993" s="1" t="s">
        <v>6415</v>
      </c>
      <c r="Q1993" s="1" t="s">
        <v>33</v>
      </c>
      <c r="R1993" s="1" t="s">
        <v>5794</v>
      </c>
      <c r="S1993" s="1" t="s">
        <v>6244</v>
      </c>
      <c r="T1993" s="1">
        <v>27846</v>
      </c>
      <c r="U1993" s="1">
        <v>27846</v>
      </c>
      <c r="V1993" s="1">
        <v>23244</v>
      </c>
      <c r="W1993" s="1">
        <v>3272</v>
      </c>
      <c r="X1993" s="1">
        <v>158</v>
      </c>
      <c r="AA1993" s="1">
        <v>62</v>
      </c>
      <c r="AE1993" s="1">
        <v>1110</v>
      </c>
    </row>
    <row r="1994" spans="1:43" x14ac:dyDescent="0.2">
      <c r="A1994" s="1" t="s">
        <v>3153</v>
      </c>
      <c r="B1994" s="1">
        <v>22041458</v>
      </c>
      <c r="C1994" s="1" t="s">
        <v>7420</v>
      </c>
      <c r="E1994" s="21">
        <v>34</v>
      </c>
      <c r="G1994" s="1" t="s">
        <v>6603</v>
      </c>
      <c r="H1994" s="1" t="s">
        <v>7140</v>
      </c>
      <c r="I1994" s="5">
        <v>40848</v>
      </c>
      <c r="J1994" s="18" t="s">
        <v>11</v>
      </c>
      <c r="K1994" s="1" t="s">
        <v>3258</v>
      </c>
      <c r="L1994" s="1" t="s">
        <v>3259</v>
      </c>
      <c r="N1994" s="5" t="s">
        <v>10</v>
      </c>
      <c r="O1994" s="5" t="s">
        <v>10</v>
      </c>
      <c r="P1994" s="1" t="s">
        <v>3846</v>
      </c>
      <c r="Q1994" s="1" t="s">
        <v>33</v>
      </c>
      <c r="R1994" s="1" t="s">
        <v>5832</v>
      </c>
      <c r="S1994" s="1" t="s">
        <v>6244</v>
      </c>
      <c r="T1994" s="1">
        <v>1439</v>
      </c>
      <c r="U1994" s="1">
        <v>1439</v>
      </c>
      <c r="V1994" s="1">
        <v>1029</v>
      </c>
      <c r="W1994" s="1">
        <v>233</v>
      </c>
      <c r="Z1994" s="1">
        <v>177</v>
      </c>
    </row>
    <row r="1995" spans="1:43" x14ac:dyDescent="0.2">
      <c r="A1995" s="1" t="s">
        <v>3154</v>
      </c>
      <c r="B1995" s="1">
        <v>22044751</v>
      </c>
      <c r="C1995" s="1" t="s">
        <v>7420</v>
      </c>
      <c r="E1995" s="21">
        <v>36</v>
      </c>
      <c r="G1995" s="1" t="s">
        <v>6602</v>
      </c>
      <c r="H1995" s="1" t="s">
        <v>6624</v>
      </c>
      <c r="I1995" s="5">
        <v>40848</v>
      </c>
      <c r="J1995" s="18" t="s">
        <v>11</v>
      </c>
      <c r="K1995" s="1" t="s">
        <v>220</v>
      </c>
      <c r="L1995" s="1" t="s">
        <v>3260</v>
      </c>
      <c r="N1995" s="5" t="s">
        <v>10</v>
      </c>
      <c r="O1995" s="5" t="s">
        <v>10</v>
      </c>
      <c r="P1995" s="1" t="s">
        <v>5191</v>
      </c>
      <c r="Q1995" s="1" t="s">
        <v>33</v>
      </c>
      <c r="R1995" s="1" t="s">
        <v>739</v>
      </c>
      <c r="S1995" s="1" t="s">
        <v>6243</v>
      </c>
      <c r="T1995" s="1">
        <v>2809</v>
      </c>
      <c r="U1995" s="1">
        <v>2809</v>
      </c>
      <c r="V1995" s="1">
        <v>2809</v>
      </c>
    </row>
    <row r="1996" spans="1:43" x14ac:dyDescent="0.2">
      <c r="A1996" s="1" t="s">
        <v>3155</v>
      </c>
      <c r="B1996" s="1">
        <v>22047184</v>
      </c>
      <c r="C1996" s="1" t="s">
        <v>7420</v>
      </c>
      <c r="E1996" s="21">
        <v>349</v>
      </c>
      <c r="G1996" s="1" t="s">
        <v>6711</v>
      </c>
      <c r="H1996" s="1" t="s">
        <v>7236</v>
      </c>
      <c r="I1996" s="5">
        <v>40849</v>
      </c>
      <c r="J1996" s="18" t="s">
        <v>10</v>
      </c>
      <c r="K1996" s="15" t="s">
        <v>2305</v>
      </c>
      <c r="L1996" s="15" t="s">
        <v>6528</v>
      </c>
      <c r="N1996" s="5" t="s">
        <v>10</v>
      </c>
      <c r="O1996" s="5" t="s">
        <v>10</v>
      </c>
      <c r="P1996" s="1" t="s">
        <v>3324</v>
      </c>
      <c r="Q1996" s="1" t="s">
        <v>6387</v>
      </c>
      <c r="R1996" s="1" t="s">
        <v>5986</v>
      </c>
      <c r="S1996" s="1" t="s">
        <v>6244</v>
      </c>
      <c r="T1996" s="1">
        <v>6781</v>
      </c>
      <c r="U1996" s="1">
        <v>2054</v>
      </c>
      <c r="V1996" s="1">
        <v>2054</v>
      </c>
      <c r="AH1996" s="1">
        <v>4727</v>
      </c>
      <c r="AQ1996" s="1">
        <v>4727</v>
      </c>
    </row>
    <row r="1997" spans="1:43" x14ac:dyDescent="0.2">
      <c r="A1997" s="1" t="s">
        <v>3156</v>
      </c>
      <c r="B1997" s="1">
        <v>22054870</v>
      </c>
      <c r="C1997" s="1" t="s">
        <v>7420</v>
      </c>
      <c r="E1997" s="21">
        <v>225</v>
      </c>
      <c r="G1997" s="1" t="s">
        <v>6600</v>
      </c>
      <c r="H1997" s="1" t="s">
        <v>236</v>
      </c>
      <c r="I1997" s="5">
        <v>40850</v>
      </c>
      <c r="J1997" s="18" t="s">
        <v>11</v>
      </c>
      <c r="K1997" s="1" t="s">
        <v>1485</v>
      </c>
      <c r="L1997" s="1" t="s">
        <v>3261</v>
      </c>
      <c r="N1997" s="5" t="s">
        <v>10</v>
      </c>
      <c r="O1997" s="5" t="s">
        <v>10</v>
      </c>
      <c r="P1997" s="1" t="s">
        <v>5382</v>
      </c>
      <c r="Q1997" s="1" t="s">
        <v>5383</v>
      </c>
      <c r="R1997" s="1" t="s">
        <v>5913</v>
      </c>
      <c r="S1997" s="1" t="s">
        <v>6243</v>
      </c>
      <c r="T1997" s="1">
        <v>3028</v>
      </c>
      <c r="U1997" s="1">
        <v>749</v>
      </c>
      <c r="V1997" s="1">
        <v>749</v>
      </c>
      <c r="AH1997" s="1">
        <v>2279</v>
      </c>
      <c r="AI1997" s="1">
        <v>2279</v>
      </c>
    </row>
    <row r="1998" spans="1:43" x14ac:dyDescent="0.2">
      <c r="A1998" s="1" t="s">
        <v>3157</v>
      </c>
      <c r="B1998" s="1">
        <v>22055160</v>
      </c>
      <c r="C1998" s="1" t="s">
        <v>7420</v>
      </c>
      <c r="E1998" s="21">
        <v>13</v>
      </c>
      <c r="G1998" s="1" t="s">
        <v>932</v>
      </c>
      <c r="H1998" s="1" t="s">
        <v>7197</v>
      </c>
      <c r="I1998" s="5">
        <v>40850</v>
      </c>
      <c r="J1998" s="18" t="s">
        <v>11</v>
      </c>
      <c r="K1998" s="1" t="s">
        <v>16</v>
      </c>
      <c r="L1998" s="1" t="s">
        <v>3262</v>
      </c>
      <c r="N1998" s="5" t="s">
        <v>10</v>
      </c>
      <c r="O1998" s="5" t="s">
        <v>10</v>
      </c>
      <c r="P1998" s="1" t="s">
        <v>3855</v>
      </c>
      <c r="Q1998" s="1" t="s">
        <v>4407</v>
      </c>
      <c r="R1998" s="1" t="s">
        <v>5721</v>
      </c>
      <c r="S1998" s="1" t="s">
        <v>6243</v>
      </c>
      <c r="T1998" s="1">
        <v>55410</v>
      </c>
      <c r="U1998" s="1">
        <v>7301</v>
      </c>
      <c r="V1998" s="1">
        <v>7301</v>
      </c>
      <c r="AH1998" s="1">
        <v>48109</v>
      </c>
      <c r="AI1998" s="1">
        <v>48109</v>
      </c>
    </row>
    <row r="1999" spans="1:43" x14ac:dyDescent="0.2">
      <c r="A1999" s="1" t="s">
        <v>3158</v>
      </c>
      <c r="B1999" s="1">
        <v>22057235</v>
      </c>
      <c r="C1999" s="1" t="s">
        <v>7420</v>
      </c>
      <c r="E1999" s="21">
        <v>56</v>
      </c>
      <c r="G1999" s="1" t="s">
        <v>133</v>
      </c>
      <c r="H1999" s="1" t="s">
        <v>134</v>
      </c>
      <c r="I1999" s="5">
        <v>40853</v>
      </c>
      <c r="J1999" s="18" t="s">
        <v>10</v>
      </c>
      <c r="K1999" s="15" t="s">
        <v>28</v>
      </c>
      <c r="L1999" s="15" t="s">
        <v>6536</v>
      </c>
      <c r="N1999" s="5" t="s">
        <v>10</v>
      </c>
      <c r="O1999" s="5" t="s">
        <v>10</v>
      </c>
      <c r="P1999" s="1" t="s">
        <v>3735</v>
      </c>
      <c r="Q1999" s="1" t="s">
        <v>33</v>
      </c>
      <c r="R1999" s="1" t="s">
        <v>5688</v>
      </c>
      <c r="S1999" s="1" t="s">
        <v>6244</v>
      </c>
      <c r="T1999" s="1">
        <v>24269</v>
      </c>
      <c r="U1999" s="1">
        <v>24269</v>
      </c>
      <c r="AD1999" s="1">
        <v>24269</v>
      </c>
    </row>
    <row r="2000" spans="1:43" x14ac:dyDescent="0.2">
      <c r="A2000" s="1" t="s">
        <v>3159</v>
      </c>
      <c r="B2000" s="1">
        <v>22058429</v>
      </c>
      <c r="C2000" s="1" t="s">
        <v>7420</v>
      </c>
      <c r="E2000" s="21">
        <v>128</v>
      </c>
      <c r="G2000" s="1" t="s">
        <v>6597</v>
      </c>
      <c r="H2000" s="1" t="s">
        <v>7263</v>
      </c>
      <c r="I2000" s="5">
        <v>40852</v>
      </c>
      <c r="J2000" s="18" t="s">
        <v>10</v>
      </c>
      <c r="K2000" s="15" t="s">
        <v>541</v>
      </c>
      <c r="L2000" s="15" t="s">
        <v>6535</v>
      </c>
      <c r="N2000" s="5" t="s">
        <v>10</v>
      </c>
      <c r="O2000" s="5" t="s">
        <v>10</v>
      </c>
      <c r="P2000" s="1" t="s">
        <v>5443</v>
      </c>
      <c r="Q2000" s="1" t="s">
        <v>33</v>
      </c>
      <c r="R2000" s="1" t="s">
        <v>6057</v>
      </c>
      <c r="S2000" s="1" t="s">
        <v>6243</v>
      </c>
      <c r="T2000" s="1">
        <v>2491</v>
      </c>
      <c r="U2000" s="1">
        <v>2491</v>
      </c>
      <c r="V2000" s="1">
        <v>2491</v>
      </c>
    </row>
    <row r="2001" spans="1:44" x14ac:dyDescent="0.2">
      <c r="A2001" s="1" t="s">
        <v>3160</v>
      </c>
      <c r="B2001" s="1">
        <v>22059935</v>
      </c>
      <c r="C2001" s="1" t="s">
        <v>7420</v>
      </c>
      <c r="E2001" s="21">
        <v>62</v>
      </c>
      <c r="G2001" s="1" t="s">
        <v>6605</v>
      </c>
      <c r="H2001" s="1" t="s">
        <v>6625</v>
      </c>
      <c r="I2001" s="5">
        <v>40854</v>
      </c>
      <c r="J2001" s="18" t="s">
        <v>10</v>
      </c>
      <c r="K2001" s="15" t="s">
        <v>2305</v>
      </c>
      <c r="L2001" s="15" t="s">
        <v>6529</v>
      </c>
      <c r="N2001" s="5" t="s">
        <v>10</v>
      </c>
      <c r="O2001" s="5" t="s">
        <v>10</v>
      </c>
      <c r="P2001" s="1" t="s">
        <v>6419</v>
      </c>
      <c r="Q2001" s="1" t="s">
        <v>33</v>
      </c>
      <c r="R2001" s="1" t="s">
        <v>5999</v>
      </c>
      <c r="S2001" s="1" t="s">
        <v>6243</v>
      </c>
      <c r="T2001" s="1">
        <v>99</v>
      </c>
      <c r="U2001" s="1">
        <v>99</v>
      </c>
      <c r="V2001" s="1">
        <v>99</v>
      </c>
    </row>
    <row r="2002" spans="1:44" x14ac:dyDescent="0.2">
      <c r="A2002" s="1" t="s">
        <v>1275</v>
      </c>
      <c r="B2002" s="1">
        <v>22064162</v>
      </c>
      <c r="C2002" s="1" t="s">
        <v>7420</v>
      </c>
      <c r="E2002" s="21">
        <v>48311</v>
      </c>
      <c r="G2002" s="1" t="s">
        <v>6592</v>
      </c>
      <c r="H2002" s="1" t="s">
        <v>6615</v>
      </c>
      <c r="I2002" s="5">
        <v>40852</v>
      </c>
      <c r="J2002" s="18" t="s">
        <v>11</v>
      </c>
      <c r="K2002" s="1" t="s">
        <v>1520</v>
      </c>
      <c r="L2002" s="1" t="s">
        <v>3263</v>
      </c>
      <c r="N2002" s="5" t="s">
        <v>10</v>
      </c>
      <c r="O2002" s="5" t="s">
        <v>10</v>
      </c>
      <c r="P2002" s="1" t="s">
        <v>5298</v>
      </c>
      <c r="Q2002" s="1" t="s">
        <v>33</v>
      </c>
      <c r="R2002" s="1" t="s">
        <v>5769</v>
      </c>
      <c r="S2002" s="1" t="s">
        <v>6243</v>
      </c>
      <c r="T2002" s="1">
        <v>874</v>
      </c>
      <c r="U2002" s="1">
        <v>874</v>
      </c>
      <c r="V2002" s="1">
        <v>874</v>
      </c>
    </row>
    <row r="2003" spans="1:44" x14ac:dyDescent="0.2">
      <c r="A2003" s="1" t="s">
        <v>3161</v>
      </c>
      <c r="B2003" s="1">
        <v>22065538</v>
      </c>
      <c r="C2003" s="1" t="s">
        <v>7420</v>
      </c>
      <c r="E2003" s="21">
        <v>15</v>
      </c>
      <c r="G2003" s="1" t="s">
        <v>6767</v>
      </c>
      <c r="H2003" s="1" t="s">
        <v>7204</v>
      </c>
      <c r="I2003" s="5">
        <v>40854</v>
      </c>
      <c r="J2003" s="18" t="s">
        <v>11</v>
      </c>
      <c r="K2003" s="1" t="s">
        <v>3264</v>
      </c>
      <c r="L2003" s="1" t="s">
        <v>3265</v>
      </c>
      <c r="N2003" s="5" t="s">
        <v>10</v>
      </c>
      <c r="O2003" s="5" t="s">
        <v>10</v>
      </c>
      <c r="P2003" s="1" t="s">
        <v>4365</v>
      </c>
      <c r="Q2003" s="1" t="s">
        <v>33</v>
      </c>
      <c r="R2003" s="1" t="s">
        <v>5755</v>
      </c>
      <c r="S2003" s="1" t="s">
        <v>6242</v>
      </c>
      <c r="T2003" s="1">
        <v>3310</v>
      </c>
      <c r="U2003" s="1">
        <v>3310</v>
      </c>
      <c r="X2003" s="1">
        <v>3310</v>
      </c>
    </row>
    <row r="2004" spans="1:44" x14ac:dyDescent="0.2">
      <c r="A2004" s="1" t="s">
        <v>3162</v>
      </c>
      <c r="B2004" s="1">
        <v>22068335</v>
      </c>
      <c r="C2004" s="1" t="s">
        <v>7420</v>
      </c>
      <c r="E2004" s="21">
        <v>39</v>
      </c>
      <c r="G2004" s="1" t="s">
        <v>6785</v>
      </c>
      <c r="H2004" s="1" t="s">
        <v>7245</v>
      </c>
      <c r="I2004" s="5">
        <v>40855</v>
      </c>
      <c r="J2004" s="18" t="s">
        <v>11</v>
      </c>
      <c r="K2004" s="1" t="s">
        <v>551</v>
      </c>
      <c r="L2004" s="1" t="s">
        <v>3266</v>
      </c>
      <c r="N2004" s="5" t="s">
        <v>10</v>
      </c>
      <c r="O2004" s="5" t="s">
        <v>10</v>
      </c>
      <c r="P2004" s="1" t="s">
        <v>5197</v>
      </c>
      <c r="Q2004" s="1" t="s">
        <v>5198</v>
      </c>
      <c r="R2004" s="1" t="s">
        <v>868</v>
      </c>
      <c r="S2004" s="1" t="s">
        <v>6243</v>
      </c>
      <c r="T2004" s="1">
        <v>25940</v>
      </c>
      <c r="U2004" s="1">
        <v>20634</v>
      </c>
      <c r="V2004" s="1">
        <v>20634</v>
      </c>
      <c r="AH2004" s="1">
        <v>5306</v>
      </c>
      <c r="AI2004" s="1">
        <v>5306</v>
      </c>
    </row>
    <row r="2005" spans="1:44" x14ac:dyDescent="0.2">
      <c r="A2005" s="1" t="s">
        <v>1543</v>
      </c>
      <c r="B2005" s="1">
        <v>22072270</v>
      </c>
      <c r="C2005" s="1" t="s">
        <v>7420</v>
      </c>
      <c r="E2005" s="21">
        <v>108</v>
      </c>
      <c r="G2005" s="1" t="s">
        <v>6585</v>
      </c>
      <c r="H2005" s="1" t="s">
        <v>7207</v>
      </c>
      <c r="I2005" s="5">
        <v>40858</v>
      </c>
      <c r="J2005" s="18" t="s">
        <v>11</v>
      </c>
      <c r="K2005" s="1" t="s">
        <v>560</v>
      </c>
      <c r="L2005" s="1" t="s">
        <v>3267</v>
      </c>
      <c r="N2005" s="5" t="s">
        <v>10</v>
      </c>
      <c r="O2005" s="5" t="s">
        <v>10</v>
      </c>
      <c r="P2005" s="1" t="s">
        <v>5295</v>
      </c>
      <c r="Q2005" s="1" t="s">
        <v>6388</v>
      </c>
      <c r="R2005" s="1" t="s">
        <v>5768</v>
      </c>
      <c r="S2005" s="1" t="s">
        <v>6243</v>
      </c>
      <c r="T2005" s="1">
        <v>1694</v>
      </c>
      <c r="U2005" s="1">
        <v>869</v>
      </c>
      <c r="V2005" s="1">
        <v>869</v>
      </c>
      <c r="AH2005" s="1">
        <v>825</v>
      </c>
      <c r="AI2005" s="1">
        <v>825</v>
      </c>
    </row>
    <row r="2006" spans="1:44" x14ac:dyDescent="0.2">
      <c r="A2006" s="1" t="s">
        <v>1295</v>
      </c>
      <c r="B2006" s="1">
        <v>22072498</v>
      </c>
      <c r="C2006" s="1" t="s">
        <v>7420</v>
      </c>
      <c r="E2006" s="21">
        <v>14</v>
      </c>
      <c r="G2006" s="1" t="s">
        <v>6628</v>
      </c>
      <c r="H2006" s="1" t="s">
        <v>7231</v>
      </c>
      <c r="I2006" s="5">
        <v>40856</v>
      </c>
      <c r="J2006" s="18" t="s">
        <v>10</v>
      </c>
      <c r="K2006" s="15" t="s">
        <v>1145</v>
      </c>
      <c r="L2006" s="15" t="s">
        <v>6530</v>
      </c>
      <c r="N2006" s="5" t="s">
        <v>10</v>
      </c>
      <c r="O2006" s="5" t="s">
        <v>10</v>
      </c>
      <c r="P2006" s="1" t="s">
        <v>3497</v>
      </c>
      <c r="Q2006" s="1" t="s">
        <v>33</v>
      </c>
      <c r="R2006" s="1" t="s">
        <v>5991</v>
      </c>
      <c r="S2006" s="1" t="s">
        <v>6243</v>
      </c>
      <c r="T2006" s="1">
        <v>8481</v>
      </c>
      <c r="U2006" s="1">
        <v>8481</v>
      </c>
      <c r="V2006" s="1">
        <v>8481</v>
      </c>
    </row>
    <row r="2007" spans="1:44" x14ac:dyDescent="0.2">
      <c r="A2007" s="1" t="s">
        <v>1765</v>
      </c>
      <c r="B2007" s="1">
        <v>22075249</v>
      </c>
      <c r="C2007" s="1" t="s">
        <v>7420</v>
      </c>
      <c r="E2007" s="21">
        <v>3</v>
      </c>
      <c r="G2007" s="1" t="s">
        <v>6713</v>
      </c>
      <c r="H2007" s="1" t="s">
        <v>7246</v>
      </c>
      <c r="I2007" s="5">
        <v>40858</v>
      </c>
      <c r="J2007" s="18" t="s">
        <v>10</v>
      </c>
      <c r="K2007" s="15" t="s">
        <v>529</v>
      </c>
      <c r="L2007" s="15" t="s">
        <v>6553</v>
      </c>
      <c r="N2007" s="5" t="s">
        <v>10</v>
      </c>
      <c r="O2007" s="5" t="s">
        <v>10</v>
      </c>
      <c r="P2007" s="1" t="s">
        <v>5630</v>
      </c>
      <c r="Q2007" s="1" t="s">
        <v>5631</v>
      </c>
      <c r="R2007" s="1" t="s">
        <v>5992</v>
      </c>
      <c r="S2007" s="1" t="s">
        <v>6243</v>
      </c>
      <c r="T2007" s="1">
        <v>8145</v>
      </c>
      <c r="U2007" s="1">
        <v>2647</v>
      </c>
      <c r="V2007" s="1">
        <v>2647</v>
      </c>
      <c r="AH2007" s="1">
        <v>5498</v>
      </c>
      <c r="AI2007" s="1">
        <v>5498</v>
      </c>
    </row>
    <row r="2008" spans="1:44" x14ac:dyDescent="0.2">
      <c r="A2008" s="1" t="s">
        <v>3163</v>
      </c>
      <c r="B2008" s="1">
        <v>22075330</v>
      </c>
      <c r="C2008" s="1" t="s">
        <v>7420</v>
      </c>
      <c r="E2008" s="21">
        <v>527</v>
      </c>
      <c r="G2008" s="1" t="s">
        <v>7110</v>
      </c>
      <c r="H2008" s="1" t="s">
        <v>7276</v>
      </c>
      <c r="I2008" s="5">
        <v>40855</v>
      </c>
      <c r="J2008" s="18" t="s">
        <v>11</v>
      </c>
      <c r="K2008" s="1" t="s">
        <v>1169</v>
      </c>
      <c r="L2008" s="1" t="s">
        <v>3268</v>
      </c>
      <c r="N2008" s="5" t="s">
        <v>10</v>
      </c>
      <c r="O2008" s="5" t="s">
        <v>10</v>
      </c>
      <c r="P2008" s="1" t="s">
        <v>5345</v>
      </c>
      <c r="Q2008" s="1" t="s">
        <v>6638</v>
      </c>
      <c r="R2008" s="1" t="s">
        <v>4962</v>
      </c>
      <c r="S2008" s="1" t="s">
        <v>6243</v>
      </c>
      <c r="T2008" s="1">
        <v>14628</v>
      </c>
      <c r="U2008" s="1">
        <v>6819</v>
      </c>
      <c r="V2008" s="1">
        <v>6819</v>
      </c>
      <c r="AH2008" s="1">
        <v>7809</v>
      </c>
      <c r="AI2008" s="1">
        <v>7809</v>
      </c>
    </row>
    <row r="2009" spans="1:44" x14ac:dyDescent="0.2">
      <c r="A2009" s="1" t="s">
        <v>1837</v>
      </c>
      <c r="B2009" s="1">
        <v>22076464</v>
      </c>
      <c r="C2009" s="1" t="s">
        <v>7420</v>
      </c>
      <c r="E2009" s="21">
        <v>162</v>
      </c>
      <c r="G2009" s="1" t="s">
        <v>7040</v>
      </c>
      <c r="H2009" s="1" t="s">
        <v>6671</v>
      </c>
      <c r="I2009" s="5">
        <v>40858</v>
      </c>
      <c r="J2009" s="18" t="s">
        <v>11</v>
      </c>
      <c r="K2009" s="1" t="s">
        <v>2908</v>
      </c>
      <c r="L2009" s="1" t="s">
        <v>3269</v>
      </c>
      <c r="N2009" s="5" t="s">
        <v>10</v>
      </c>
      <c r="O2009" s="5" t="s">
        <v>10</v>
      </c>
      <c r="P2009" s="1" t="s">
        <v>5290</v>
      </c>
      <c r="Q2009" s="1" t="s">
        <v>5291</v>
      </c>
      <c r="R2009" s="1" t="s">
        <v>5882</v>
      </c>
      <c r="S2009" s="1" t="s">
        <v>6243</v>
      </c>
      <c r="T2009" s="1">
        <v>5231</v>
      </c>
      <c r="U2009" s="1">
        <v>893</v>
      </c>
      <c r="V2009" s="1">
        <v>893</v>
      </c>
      <c r="AH2009" s="1">
        <v>4338</v>
      </c>
      <c r="AI2009" s="1">
        <v>4338</v>
      </c>
    </row>
    <row r="2010" spans="1:44" x14ac:dyDescent="0.2">
      <c r="A2010" s="1" t="s">
        <v>1333</v>
      </c>
      <c r="B2010" s="1">
        <v>22080838</v>
      </c>
      <c r="C2010" s="1" t="s">
        <v>7420</v>
      </c>
      <c r="E2010" s="21">
        <v>10</v>
      </c>
      <c r="G2010" s="1" t="s">
        <v>6738</v>
      </c>
      <c r="H2010" s="1" t="s">
        <v>7153</v>
      </c>
      <c r="I2010" s="5">
        <v>40858</v>
      </c>
      <c r="J2010" s="18" t="s">
        <v>11</v>
      </c>
      <c r="K2010" s="1" t="s">
        <v>103</v>
      </c>
      <c r="L2010" s="1" t="s">
        <v>3270</v>
      </c>
      <c r="N2010" s="5" t="s">
        <v>10</v>
      </c>
      <c r="O2010" s="5" t="s">
        <v>10</v>
      </c>
      <c r="P2010" s="1" t="s">
        <v>5236</v>
      </c>
      <c r="Q2010" s="1" t="s">
        <v>6096</v>
      </c>
      <c r="R2010" s="1" t="s">
        <v>5756</v>
      </c>
      <c r="S2010" s="1" t="s">
        <v>6389</v>
      </c>
      <c r="T2010" s="1">
        <v>8280</v>
      </c>
      <c r="U2010" s="1">
        <v>5421</v>
      </c>
      <c r="V2010" s="1">
        <v>5421</v>
      </c>
      <c r="AH2010" s="1">
        <v>2859</v>
      </c>
      <c r="AR2010" s="1">
        <v>2859</v>
      </c>
    </row>
    <row r="2011" spans="1:44" x14ac:dyDescent="0.2">
      <c r="A2011" s="1" t="s">
        <v>2162</v>
      </c>
      <c r="B2011" s="1">
        <v>22081228</v>
      </c>
      <c r="C2011" s="1" t="s">
        <v>7420</v>
      </c>
      <c r="E2011" s="21">
        <v>73</v>
      </c>
      <c r="G2011" s="1" t="s">
        <v>678</v>
      </c>
      <c r="H2011" s="1" t="s">
        <v>7088</v>
      </c>
      <c r="I2011" s="5">
        <v>40860</v>
      </c>
      <c r="J2011" s="18" t="s">
        <v>11</v>
      </c>
      <c r="K2011" s="1" t="s">
        <v>28</v>
      </c>
      <c r="L2011" s="1" t="s">
        <v>3271</v>
      </c>
      <c r="N2011" s="5" t="s">
        <v>10</v>
      </c>
      <c r="O2011" s="5" t="s">
        <v>10</v>
      </c>
      <c r="P2011" s="1" t="s">
        <v>5286</v>
      </c>
      <c r="Q2011" s="1" t="s">
        <v>5287</v>
      </c>
      <c r="R2011" s="1" t="s">
        <v>5765</v>
      </c>
      <c r="S2011" s="1" t="s">
        <v>6244</v>
      </c>
      <c r="T2011" s="1">
        <v>11556</v>
      </c>
      <c r="U2011" s="1">
        <v>6657</v>
      </c>
      <c r="V2011" s="1">
        <v>6657</v>
      </c>
      <c r="AH2011" s="1">
        <v>4899</v>
      </c>
      <c r="AI2011" s="1">
        <v>1954</v>
      </c>
      <c r="AK2011" s="1">
        <v>2540</v>
      </c>
      <c r="AR2011" s="1">
        <v>405</v>
      </c>
    </row>
    <row r="2012" spans="1:44" x14ac:dyDescent="0.2">
      <c r="A2012" s="1" t="s">
        <v>1431</v>
      </c>
      <c r="B2012" s="1">
        <v>22085899</v>
      </c>
      <c r="C2012" s="1" t="s">
        <v>7420</v>
      </c>
      <c r="E2012" s="21">
        <v>218</v>
      </c>
      <c r="G2012" s="1" t="s">
        <v>6710</v>
      </c>
      <c r="H2012" s="1" t="s">
        <v>7215</v>
      </c>
      <c r="I2012" s="5">
        <v>40863</v>
      </c>
      <c r="J2012" s="18" t="s">
        <v>11</v>
      </c>
      <c r="K2012" s="1" t="s">
        <v>592</v>
      </c>
      <c r="L2012" s="1" t="s">
        <v>3273</v>
      </c>
      <c r="N2012" s="5" t="s">
        <v>10</v>
      </c>
      <c r="O2012" s="5" t="s">
        <v>10</v>
      </c>
      <c r="P2012" s="1" t="s">
        <v>3272</v>
      </c>
      <c r="Q2012" s="1" t="s">
        <v>33</v>
      </c>
      <c r="R2012" s="1" t="s">
        <v>4838</v>
      </c>
      <c r="S2012" s="1" t="s">
        <v>6440</v>
      </c>
      <c r="T2012" s="1">
        <v>619</v>
      </c>
      <c r="U2012" s="1">
        <v>619</v>
      </c>
      <c r="W2012" s="1">
        <v>619</v>
      </c>
    </row>
    <row r="2013" spans="1:44" x14ac:dyDescent="0.2">
      <c r="A2013" s="1" t="s">
        <v>3164</v>
      </c>
      <c r="B2013" s="1">
        <v>22086417</v>
      </c>
      <c r="C2013" s="1" t="s">
        <v>7420</v>
      </c>
      <c r="E2013" s="21">
        <v>5</v>
      </c>
      <c r="G2013" s="1" t="s">
        <v>6883</v>
      </c>
      <c r="H2013" s="1" t="s">
        <v>6820</v>
      </c>
      <c r="I2013" s="5">
        <v>40862</v>
      </c>
      <c r="J2013" s="18" t="s">
        <v>11</v>
      </c>
      <c r="K2013" s="1" t="s">
        <v>455</v>
      </c>
      <c r="L2013" s="1" t="s">
        <v>3274</v>
      </c>
      <c r="N2013" s="5" t="s">
        <v>10</v>
      </c>
      <c r="O2013" s="5" t="s">
        <v>10</v>
      </c>
      <c r="P2013" s="1" t="s">
        <v>5269</v>
      </c>
      <c r="Q2013" s="1" t="s">
        <v>5270</v>
      </c>
      <c r="R2013" s="1" t="s">
        <v>5762</v>
      </c>
      <c r="S2013" s="1" t="s">
        <v>6243</v>
      </c>
      <c r="T2013" s="1">
        <v>4035</v>
      </c>
      <c r="U2013" s="1">
        <v>3708</v>
      </c>
      <c r="V2013" s="1">
        <v>3708</v>
      </c>
      <c r="AH2013" s="1">
        <v>327</v>
      </c>
      <c r="AI2013" s="1">
        <v>327</v>
      </c>
    </row>
    <row r="2014" spans="1:44" x14ac:dyDescent="0.2">
      <c r="A2014" s="1" t="s">
        <v>1338</v>
      </c>
      <c r="B2014" s="1">
        <v>22087292</v>
      </c>
      <c r="C2014" s="1" t="s">
        <v>7420</v>
      </c>
      <c r="E2014" s="21">
        <v>422</v>
      </c>
      <c r="G2014" s="1" t="s">
        <v>6818</v>
      </c>
      <c r="H2014" s="1" t="s">
        <v>7232</v>
      </c>
      <c r="I2014" s="5">
        <v>40854</v>
      </c>
      <c r="J2014" s="18" t="s">
        <v>11</v>
      </c>
      <c r="K2014" s="1" t="s">
        <v>181</v>
      </c>
      <c r="L2014" s="1" t="s">
        <v>3275</v>
      </c>
      <c r="N2014" s="5" t="s">
        <v>10</v>
      </c>
      <c r="O2014" s="5" t="s">
        <v>10</v>
      </c>
      <c r="P2014" s="1" t="s">
        <v>4003</v>
      </c>
      <c r="Q2014" s="1" t="s">
        <v>5085</v>
      </c>
      <c r="R2014" s="1" t="s">
        <v>4895</v>
      </c>
      <c r="S2014" s="1" t="s">
        <v>6244</v>
      </c>
      <c r="T2014" s="1">
        <v>3913</v>
      </c>
      <c r="U2014" s="1">
        <v>1627</v>
      </c>
      <c r="X2014" s="1">
        <v>1627</v>
      </c>
      <c r="AH2014" s="1">
        <v>2286</v>
      </c>
      <c r="AI2014" s="1">
        <v>2286</v>
      </c>
    </row>
    <row r="2015" spans="1:44" x14ac:dyDescent="0.2">
      <c r="A2015" s="1" t="s">
        <v>1302</v>
      </c>
      <c r="B2015" s="1">
        <v>22091778</v>
      </c>
      <c r="C2015" s="1" t="s">
        <v>7420</v>
      </c>
      <c r="E2015" s="21">
        <v>4974</v>
      </c>
      <c r="G2015" s="1" t="s">
        <v>6607</v>
      </c>
      <c r="H2015" s="1" t="s">
        <v>7132</v>
      </c>
      <c r="I2015" s="5">
        <v>40863</v>
      </c>
      <c r="J2015" s="18" t="s">
        <v>10</v>
      </c>
      <c r="K2015" s="15" t="s">
        <v>6564</v>
      </c>
      <c r="L2015" s="15" t="s">
        <v>6544</v>
      </c>
      <c r="N2015" s="5" t="s">
        <v>10</v>
      </c>
      <c r="O2015" s="5" t="s">
        <v>10</v>
      </c>
      <c r="P2015" s="1" t="s">
        <v>3849</v>
      </c>
      <c r="Q2015" s="1" t="s">
        <v>3850</v>
      </c>
      <c r="R2015" s="1" t="s">
        <v>5702</v>
      </c>
      <c r="S2015" s="1" t="s">
        <v>6244</v>
      </c>
      <c r="T2015" s="1">
        <v>688</v>
      </c>
      <c r="U2015" s="1">
        <v>398</v>
      </c>
      <c r="AD2015" s="1">
        <v>398</v>
      </c>
      <c r="AH2015" s="1">
        <v>290</v>
      </c>
      <c r="AR2015" s="1">
        <v>290</v>
      </c>
    </row>
    <row r="2016" spans="1:44" x14ac:dyDescent="0.2">
      <c r="A2016" s="1" t="s">
        <v>1313</v>
      </c>
      <c r="B2016" s="1">
        <v>22095909</v>
      </c>
      <c r="C2016" s="1" t="s">
        <v>7420</v>
      </c>
      <c r="E2016" s="21">
        <v>13</v>
      </c>
      <c r="G2016" s="1" t="s">
        <v>6716</v>
      </c>
      <c r="H2016" s="1" t="s">
        <v>7211</v>
      </c>
      <c r="I2016" s="5">
        <v>40863</v>
      </c>
      <c r="J2016" s="18" t="s">
        <v>11</v>
      </c>
      <c r="K2016" s="1" t="s">
        <v>2091</v>
      </c>
      <c r="L2016" s="1" t="s">
        <v>3276</v>
      </c>
      <c r="N2016" s="5" t="s">
        <v>10</v>
      </c>
      <c r="O2016" s="5" t="s">
        <v>10</v>
      </c>
      <c r="P2016" s="1" t="s">
        <v>5373</v>
      </c>
      <c r="Q2016" s="1" t="s">
        <v>33</v>
      </c>
      <c r="R2016" s="1" t="s">
        <v>6449</v>
      </c>
      <c r="S2016" s="1" t="s">
        <v>6243</v>
      </c>
      <c r="T2016" s="1">
        <v>707</v>
      </c>
      <c r="U2016" s="1">
        <v>707</v>
      </c>
      <c r="V2016" s="1">
        <v>707</v>
      </c>
    </row>
    <row r="2017" spans="1:44" x14ac:dyDescent="0.2">
      <c r="A2017" s="1" t="s">
        <v>3076</v>
      </c>
      <c r="B2017" s="1">
        <v>22096494</v>
      </c>
      <c r="C2017" s="1" t="s">
        <v>7420</v>
      </c>
      <c r="E2017" s="21">
        <v>72</v>
      </c>
      <c r="G2017" s="1" t="s">
        <v>968</v>
      </c>
      <c r="H2017" s="1" t="s">
        <v>7207</v>
      </c>
      <c r="I2017" s="5">
        <v>40854</v>
      </c>
      <c r="J2017" s="18" t="s">
        <v>10</v>
      </c>
      <c r="K2017" s="15" t="s">
        <v>181</v>
      </c>
      <c r="L2017" s="15" t="s">
        <v>6495</v>
      </c>
      <c r="N2017" s="5" t="s">
        <v>10</v>
      </c>
      <c r="O2017" s="5" t="s">
        <v>10</v>
      </c>
      <c r="P2017" s="1" t="s">
        <v>3325</v>
      </c>
      <c r="Q2017" s="1" t="s">
        <v>6320</v>
      </c>
      <c r="R2017" s="1" t="s">
        <v>5799</v>
      </c>
      <c r="S2017" s="1" t="s">
        <v>6244</v>
      </c>
      <c r="T2017" s="1">
        <v>10554</v>
      </c>
      <c r="U2017" s="1">
        <v>1189</v>
      </c>
      <c r="W2017" s="1">
        <v>1189</v>
      </c>
      <c r="AH2017" s="1">
        <v>9365</v>
      </c>
      <c r="AI2017" s="1">
        <v>9365</v>
      </c>
    </row>
    <row r="2018" spans="1:44" x14ac:dyDescent="0.2">
      <c r="A2018" s="1" t="s">
        <v>2606</v>
      </c>
      <c r="B2018" s="1">
        <v>22100073</v>
      </c>
      <c r="C2018" s="1" t="s">
        <v>7420</v>
      </c>
      <c r="E2018" s="21">
        <v>140</v>
      </c>
      <c r="G2018" s="1" t="s">
        <v>2196</v>
      </c>
      <c r="H2018" s="1" t="s">
        <v>7222</v>
      </c>
      <c r="I2018" s="5">
        <v>40863</v>
      </c>
      <c r="J2018" s="18" t="s">
        <v>10</v>
      </c>
      <c r="K2018" s="15" t="s">
        <v>16</v>
      </c>
      <c r="L2018" s="15" t="s">
        <v>6539</v>
      </c>
      <c r="N2018" s="5" t="s">
        <v>10</v>
      </c>
      <c r="O2018" s="5" t="s">
        <v>10</v>
      </c>
      <c r="P2018" s="1" t="s">
        <v>3832</v>
      </c>
      <c r="Q2018" s="1" t="s">
        <v>4875</v>
      </c>
      <c r="R2018" s="1" t="s">
        <v>5739</v>
      </c>
      <c r="S2018" s="1" t="s">
        <v>6243</v>
      </c>
      <c r="T2018" s="1">
        <v>84467</v>
      </c>
      <c r="U2018" s="1">
        <v>25118</v>
      </c>
      <c r="V2018" s="1">
        <v>25118</v>
      </c>
      <c r="AH2018" s="1">
        <v>59349</v>
      </c>
      <c r="AI2018" s="1">
        <v>59349</v>
      </c>
    </row>
    <row r="2019" spans="1:44" x14ac:dyDescent="0.2">
      <c r="A2019" s="1" t="s">
        <v>3445</v>
      </c>
      <c r="B2019" s="1">
        <v>22101970</v>
      </c>
      <c r="C2019" s="1" t="s">
        <v>7420</v>
      </c>
      <c r="D2019" s="1" t="s">
        <v>7411</v>
      </c>
      <c r="E2019" s="21">
        <v>1</v>
      </c>
      <c r="G2019" s="1" t="s">
        <v>61</v>
      </c>
      <c r="H2019" s="1" t="s">
        <v>7396</v>
      </c>
      <c r="I2019" s="5">
        <v>40866</v>
      </c>
      <c r="J2019" s="18" t="s">
        <v>11</v>
      </c>
      <c r="K2019" s="15" t="s">
        <v>6572</v>
      </c>
      <c r="L2019" s="15" t="s">
        <v>6559</v>
      </c>
      <c r="N2019" s="5" t="s">
        <v>10</v>
      </c>
      <c r="O2019" s="5" t="s">
        <v>10</v>
      </c>
      <c r="P2019" s="1" t="s">
        <v>5471</v>
      </c>
      <c r="Q2019" s="1" t="s">
        <v>33</v>
      </c>
      <c r="R2019" s="2" t="s">
        <v>5981</v>
      </c>
      <c r="S2019" s="1" t="s">
        <v>6244</v>
      </c>
      <c r="T2019" s="1">
        <v>6488</v>
      </c>
      <c r="U2019" s="1">
        <v>6488</v>
      </c>
      <c r="V2019" s="1">
        <v>4805</v>
      </c>
      <c r="W2019" s="1">
        <v>1683</v>
      </c>
    </row>
    <row r="2020" spans="1:44" x14ac:dyDescent="0.2">
      <c r="A2020" s="1" t="s">
        <v>3165</v>
      </c>
      <c r="B2020" s="1">
        <v>22102887</v>
      </c>
      <c r="C2020" s="1" t="s">
        <v>7420</v>
      </c>
      <c r="E2020" s="21">
        <v>30</v>
      </c>
      <c r="F2020" s="17">
        <v>1</v>
      </c>
      <c r="G2020" s="1" t="s">
        <v>7007</v>
      </c>
      <c r="H2020" s="1" t="s">
        <v>7368</v>
      </c>
      <c r="I2020" s="5">
        <v>40862</v>
      </c>
      <c r="J2020" s="18" t="s">
        <v>10</v>
      </c>
      <c r="K2020" s="15" t="s">
        <v>181</v>
      </c>
      <c r="L2020" s="15" t="s">
        <v>6494</v>
      </c>
      <c r="N2020" s="5" t="s">
        <v>10</v>
      </c>
      <c r="O2020" s="5" t="s">
        <v>10</v>
      </c>
      <c r="P2020" s="1" t="s">
        <v>5362</v>
      </c>
      <c r="Q2020" s="1" t="s">
        <v>5363</v>
      </c>
      <c r="R2020" s="1" t="s">
        <v>5801</v>
      </c>
      <c r="S2020" s="1" t="s">
        <v>6243</v>
      </c>
      <c r="T2020" s="1">
        <v>109</v>
      </c>
      <c r="U2020" s="1">
        <v>69</v>
      </c>
      <c r="V2020" s="1">
        <v>69</v>
      </c>
      <c r="AH2020" s="1">
        <v>40</v>
      </c>
      <c r="AI2020" s="1">
        <v>40</v>
      </c>
    </row>
    <row r="2021" spans="1:44" x14ac:dyDescent="0.2">
      <c r="A2021" s="1" t="s">
        <v>3166</v>
      </c>
      <c r="B2021" s="1">
        <v>22105264</v>
      </c>
      <c r="C2021" s="1" t="s">
        <v>7420</v>
      </c>
      <c r="E2021" s="21">
        <v>6</v>
      </c>
      <c r="G2021" s="1" t="s">
        <v>6599</v>
      </c>
      <c r="H2021" s="1" t="s">
        <v>6936</v>
      </c>
      <c r="I2021" s="8">
        <v>40878</v>
      </c>
      <c r="J2021" s="18" t="s">
        <v>11</v>
      </c>
      <c r="K2021" s="1" t="s">
        <v>3277</v>
      </c>
      <c r="L2021" s="1" t="s">
        <v>3278</v>
      </c>
      <c r="N2021" s="1" t="s">
        <v>11</v>
      </c>
      <c r="O2021" s="1" t="s">
        <v>11</v>
      </c>
      <c r="P2021" s="1" t="s">
        <v>5115</v>
      </c>
      <c r="Q2021" s="1" t="s">
        <v>5116</v>
      </c>
      <c r="R2021" s="1" t="s">
        <v>5681</v>
      </c>
      <c r="S2021" s="1" t="s">
        <v>6243</v>
      </c>
      <c r="T2021" s="1">
        <v>3167</v>
      </c>
      <c r="U2021" s="1">
        <v>3091</v>
      </c>
      <c r="V2021" s="1">
        <v>3091</v>
      </c>
      <c r="AH2021" s="1">
        <v>76</v>
      </c>
      <c r="AI2021" s="1">
        <v>76</v>
      </c>
    </row>
    <row r="2022" spans="1:44" x14ac:dyDescent="0.2">
      <c r="A2022" s="1" t="s">
        <v>39</v>
      </c>
      <c r="B2022" s="1">
        <v>22105620</v>
      </c>
      <c r="C2022" s="1" t="s">
        <v>7420</v>
      </c>
      <c r="E2022" s="21">
        <v>121</v>
      </c>
      <c r="G2022" s="1" t="s">
        <v>7096</v>
      </c>
      <c r="H2022" s="1" t="s">
        <v>40</v>
      </c>
      <c r="I2022" s="5">
        <v>40869</v>
      </c>
      <c r="J2022" s="18" t="s">
        <v>11</v>
      </c>
      <c r="K2022" s="15" t="s">
        <v>71</v>
      </c>
      <c r="L2022" s="15" t="s">
        <v>6532</v>
      </c>
      <c r="N2022" s="5" t="s">
        <v>10</v>
      </c>
      <c r="O2022" s="5" t="s">
        <v>10</v>
      </c>
      <c r="P2022" s="1" t="s">
        <v>3441</v>
      </c>
      <c r="Q2022" s="1" t="s">
        <v>3442</v>
      </c>
      <c r="R2022" s="2" t="s">
        <v>5837</v>
      </c>
      <c r="S2022" s="1" t="s">
        <v>6243</v>
      </c>
      <c r="T2022" s="1">
        <v>1598</v>
      </c>
      <c r="U2022" s="1">
        <v>1073</v>
      </c>
      <c r="V2022" s="1">
        <v>1073</v>
      </c>
      <c r="AH2022" s="1">
        <v>525</v>
      </c>
      <c r="AI2022" s="1">
        <v>525</v>
      </c>
    </row>
    <row r="2023" spans="1:44" x14ac:dyDescent="0.2">
      <c r="A2023" s="1" t="s">
        <v>3167</v>
      </c>
      <c r="B2023" s="1">
        <v>22105623</v>
      </c>
      <c r="C2023" s="1" t="s">
        <v>7420</v>
      </c>
      <c r="E2023" s="21">
        <v>393</v>
      </c>
      <c r="G2023" s="1" t="s">
        <v>6604</v>
      </c>
      <c r="H2023" s="1" t="s">
        <v>268</v>
      </c>
      <c r="I2023" s="5">
        <v>40869</v>
      </c>
      <c r="J2023" s="18" t="s">
        <v>10</v>
      </c>
      <c r="K2023" s="15" t="s">
        <v>71</v>
      </c>
      <c r="L2023" s="15" t="s">
        <v>6531</v>
      </c>
      <c r="N2023" s="5" t="s">
        <v>10</v>
      </c>
      <c r="O2023" s="5" t="s">
        <v>10</v>
      </c>
      <c r="P2023" s="1" t="s">
        <v>5292</v>
      </c>
      <c r="Q2023" s="1" t="s">
        <v>5293</v>
      </c>
      <c r="R2023" s="1" t="s">
        <v>6058</v>
      </c>
      <c r="S2023" s="1" t="s">
        <v>6243</v>
      </c>
      <c r="T2023" s="1">
        <v>10736</v>
      </c>
      <c r="U2023" s="1">
        <v>4251</v>
      </c>
      <c r="V2023" s="1">
        <v>4251</v>
      </c>
      <c r="AH2023" s="1">
        <v>6485</v>
      </c>
      <c r="AI2023" s="1">
        <v>6485</v>
      </c>
    </row>
    <row r="2024" spans="1:44" x14ac:dyDescent="0.2">
      <c r="A2024" s="1" t="s">
        <v>3168</v>
      </c>
      <c r="B2024" s="1">
        <v>22116812</v>
      </c>
      <c r="C2024" s="1" t="s">
        <v>7420</v>
      </c>
      <c r="E2024" s="21">
        <v>117</v>
      </c>
      <c r="G2024" s="1" t="s">
        <v>6618</v>
      </c>
      <c r="H2024" s="1" t="s">
        <v>6627</v>
      </c>
      <c r="I2024" s="5">
        <v>40870</v>
      </c>
      <c r="J2024" s="18" t="s">
        <v>11</v>
      </c>
      <c r="K2024" s="1" t="s">
        <v>50</v>
      </c>
      <c r="L2024" s="1" t="s">
        <v>3279</v>
      </c>
      <c r="N2024" s="5" t="s">
        <v>10</v>
      </c>
      <c r="O2024" s="5" t="s">
        <v>10</v>
      </c>
      <c r="P2024" s="1" t="s">
        <v>5358</v>
      </c>
      <c r="Q2024" s="1" t="s">
        <v>5359</v>
      </c>
      <c r="R2024" s="1" t="s">
        <v>5798</v>
      </c>
      <c r="S2024" s="1" t="s">
        <v>6243</v>
      </c>
      <c r="T2024" s="1">
        <v>11795</v>
      </c>
      <c r="U2024" s="1">
        <v>5700</v>
      </c>
      <c r="V2024" s="1">
        <v>5700</v>
      </c>
      <c r="AH2024" s="1">
        <v>6095</v>
      </c>
      <c r="AI2024" s="1">
        <v>6095</v>
      </c>
    </row>
    <row r="2025" spans="1:44" x14ac:dyDescent="0.2">
      <c r="A2025" s="1" t="s">
        <v>1147</v>
      </c>
      <c r="B2025" s="1">
        <v>22116939</v>
      </c>
      <c r="C2025" s="1" t="s">
        <v>7420</v>
      </c>
      <c r="E2025" s="21">
        <v>292</v>
      </c>
      <c r="G2025" s="1" t="s">
        <v>6594</v>
      </c>
      <c r="H2025" s="1" t="s">
        <v>6626</v>
      </c>
      <c r="I2025" s="5">
        <v>40871</v>
      </c>
      <c r="J2025" s="18" t="s">
        <v>11</v>
      </c>
      <c r="K2025" s="1" t="s">
        <v>103</v>
      </c>
      <c r="L2025" s="1" t="s">
        <v>3281</v>
      </c>
      <c r="N2025" s="5" t="s">
        <v>10</v>
      </c>
      <c r="O2025" s="5" t="s">
        <v>10</v>
      </c>
      <c r="P2025" s="1" t="s">
        <v>4243</v>
      </c>
      <c r="Q2025" s="1" t="s">
        <v>3280</v>
      </c>
      <c r="R2025" s="1" t="s">
        <v>5775</v>
      </c>
      <c r="S2025" s="1" t="s">
        <v>6242</v>
      </c>
      <c r="T2025" s="1">
        <v>4531</v>
      </c>
      <c r="U2025" s="1">
        <v>3451</v>
      </c>
      <c r="X2025" s="1">
        <v>3451</v>
      </c>
      <c r="AH2025" s="1">
        <v>1080</v>
      </c>
      <c r="AK2025" s="1">
        <v>1080</v>
      </c>
    </row>
    <row r="2026" spans="1:44" x14ac:dyDescent="0.2">
      <c r="A2026" s="1" t="s">
        <v>3415</v>
      </c>
      <c r="B2026" s="1">
        <v>22116950</v>
      </c>
      <c r="C2026" s="1" t="s">
        <v>7420</v>
      </c>
      <c r="E2026" s="21">
        <v>25</v>
      </c>
      <c r="G2026" s="1" t="s">
        <v>6823</v>
      </c>
      <c r="H2026" s="1" t="s">
        <v>7260</v>
      </c>
      <c r="I2026" s="5">
        <v>40871</v>
      </c>
      <c r="J2026" s="18" t="s">
        <v>11</v>
      </c>
      <c r="K2026" s="15" t="s">
        <v>937</v>
      </c>
      <c r="L2026" s="15" t="s">
        <v>6552</v>
      </c>
      <c r="N2026" s="1" t="s">
        <v>11</v>
      </c>
      <c r="O2026" s="1" t="s">
        <v>11</v>
      </c>
      <c r="P2026" s="1" t="s">
        <v>5466</v>
      </c>
      <c r="Q2026" s="7" t="s">
        <v>5632</v>
      </c>
      <c r="R2026" s="2" t="s">
        <v>5862</v>
      </c>
      <c r="S2026" s="1" t="s">
        <v>6244</v>
      </c>
      <c r="T2026" s="1">
        <v>432</v>
      </c>
      <c r="U2026" s="1">
        <v>432</v>
      </c>
      <c r="V2026" s="1">
        <v>232</v>
      </c>
      <c r="W2026" s="1">
        <v>200</v>
      </c>
    </row>
    <row r="2027" spans="1:44" x14ac:dyDescent="0.2">
      <c r="A2027" s="1" t="s">
        <v>3169</v>
      </c>
      <c r="B2027" s="1">
        <v>22118420</v>
      </c>
      <c r="C2027" s="1" t="s">
        <v>7420</v>
      </c>
      <c r="E2027" s="21">
        <v>11</v>
      </c>
      <c r="G2027" s="1" t="s">
        <v>7035</v>
      </c>
      <c r="H2027" s="1" t="s">
        <v>7215</v>
      </c>
      <c r="I2027" s="5">
        <v>40875</v>
      </c>
      <c r="J2027" s="18" t="s">
        <v>11</v>
      </c>
      <c r="K2027" s="1" t="s">
        <v>906</v>
      </c>
      <c r="L2027" s="1" t="s">
        <v>3283</v>
      </c>
      <c r="N2027" s="5" t="s">
        <v>10</v>
      </c>
      <c r="O2027" s="5" t="s">
        <v>10</v>
      </c>
      <c r="P2027" s="1" t="s">
        <v>3282</v>
      </c>
      <c r="Q2027" s="1" t="s">
        <v>33</v>
      </c>
      <c r="R2027" s="1" t="s">
        <v>4132</v>
      </c>
      <c r="S2027" s="1" t="s">
        <v>6242</v>
      </c>
      <c r="T2027" s="1">
        <v>182</v>
      </c>
      <c r="U2027" s="1">
        <v>182</v>
      </c>
      <c r="X2027" s="1">
        <v>182</v>
      </c>
    </row>
    <row r="2028" spans="1:44" x14ac:dyDescent="0.2">
      <c r="A2028" s="1" t="s">
        <v>273</v>
      </c>
      <c r="B2028" s="1">
        <v>22120009</v>
      </c>
      <c r="C2028" s="1" t="s">
        <v>7420</v>
      </c>
      <c r="E2028" s="21">
        <v>1064</v>
      </c>
      <c r="G2028" s="1" t="s">
        <v>6598</v>
      </c>
      <c r="H2028" s="1" t="s">
        <v>6622</v>
      </c>
      <c r="I2028" s="5">
        <v>40874</v>
      </c>
      <c r="J2028" s="18" t="s">
        <v>11</v>
      </c>
      <c r="K2028" s="1" t="s">
        <v>28</v>
      </c>
      <c r="L2028" s="1" t="s">
        <v>3284</v>
      </c>
      <c r="N2028" s="5" t="s">
        <v>10</v>
      </c>
      <c r="O2028" s="5" t="s">
        <v>10</v>
      </c>
      <c r="P2028" s="1" t="s">
        <v>5087</v>
      </c>
      <c r="Q2028" s="1" t="s">
        <v>5088</v>
      </c>
      <c r="R2028" s="1" t="s">
        <v>5710</v>
      </c>
      <c r="S2028" s="1" t="s">
        <v>6243</v>
      </c>
      <c r="T2028" s="1">
        <v>8674</v>
      </c>
      <c r="U2028" s="1">
        <v>7578</v>
      </c>
      <c r="V2028" s="1">
        <v>7578</v>
      </c>
      <c r="AH2028" s="1">
        <v>1096</v>
      </c>
      <c r="AI2028" s="1">
        <v>1096</v>
      </c>
    </row>
    <row r="2029" spans="1:44" x14ac:dyDescent="0.2">
      <c r="A2029" s="1" t="s">
        <v>3172</v>
      </c>
      <c r="B2029" s="1">
        <v>22125219</v>
      </c>
      <c r="C2029" s="1" t="s">
        <v>7420</v>
      </c>
      <c r="E2029" s="21">
        <v>290</v>
      </c>
      <c r="G2029" s="1" t="s">
        <v>15</v>
      </c>
      <c r="H2029" s="1" t="s">
        <v>7143</v>
      </c>
      <c r="I2029" s="8">
        <v>40878</v>
      </c>
      <c r="J2029" s="18" t="s">
        <v>10</v>
      </c>
      <c r="K2029" s="15" t="s">
        <v>2891</v>
      </c>
      <c r="L2029" s="15" t="s">
        <v>6534</v>
      </c>
      <c r="N2029" s="5" t="s">
        <v>10</v>
      </c>
      <c r="O2029" s="5" t="s">
        <v>10</v>
      </c>
      <c r="P2029" s="1" t="s">
        <v>6099</v>
      </c>
      <c r="Q2029" s="1" t="s">
        <v>33</v>
      </c>
      <c r="R2029" s="1" t="s">
        <v>5752</v>
      </c>
      <c r="S2029" s="1" t="s">
        <v>6243</v>
      </c>
      <c r="T2029" s="1">
        <v>1329</v>
      </c>
      <c r="U2029" s="1">
        <v>1329</v>
      </c>
      <c r="V2029" s="1">
        <v>1329</v>
      </c>
    </row>
    <row r="2030" spans="1:44" x14ac:dyDescent="0.2">
      <c r="A2030" s="1" t="s">
        <v>3173</v>
      </c>
      <c r="B2030" s="1">
        <v>22126837</v>
      </c>
      <c r="C2030" s="1" t="s">
        <v>7420</v>
      </c>
      <c r="E2030" s="21">
        <v>4</v>
      </c>
      <c r="G2030" s="1" t="s">
        <v>6623</v>
      </c>
      <c r="H2030" s="1" t="s">
        <v>7148</v>
      </c>
      <c r="I2030" s="5">
        <v>40875</v>
      </c>
      <c r="J2030" s="18" t="s">
        <v>11</v>
      </c>
      <c r="K2030" s="1" t="s">
        <v>1339</v>
      </c>
      <c r="L2030" s="1" t="s">
        <v>3285</v>
      </c>
      <c r="N2030" s="5" t="s">
        <v>10</v>
      </c>
      <c r="O2030" s="5" t="s">
        <v>10</v>
      </c>
      <c r="P2030" s="1" t="s">
        <v>5155</v>
      </c>
      <c r="Q2030" s="1" t="s">
        <v>33</v>
      </c>
      <c r="R2030" s="1" t="s">
        <v>5852</v>
      </c>
      <c r="S2030" s="1" t="s">
        <v>6243</v>
      </c>
      <c r="T2030" s="1">
        <v>700</v>
      </c>
      <c r="U2030" s="1">
        <v>700</v>
      </c>
      <c r="V2030" s="1">
        <v>700</v>
      </c>
    </row>
    <row r="2031" spans="1:44" x14ac:dyDescent="0.2">
      <c r="A2031" s="1" t="s">
        <v>3174</v>
      </c>
      <c r="B2031" s="1">
        <v>22130093</v>
      </c>
      <c r="C2031" s="1" t="s">
        <v>7420</v>
      </c>
      <c r="E2031" s="21">
        <v>20</v>
      </c>
      <c r="G2031" s="1" t="s">
        <v>664</v>
      </c>
      <c r="H2031" s="1" t="s">
        <v>6689</v>
      </c>
      <c r="I2031" s="5">
        <v>40878</v>
      </c>
      <c r="J2031" s="18" t="s">
        <v>11</v>
      </c>
      <c r="K2031" s="1" t="s">
        <v>3286</v>
      </c>
      <c r="L2031" s="1" t="s">
        <v>3287</v>
      </c>
      <c r="N2031" s="5" t="s">
        <v>11</v>
      </c>
      <c r="O2031" s="5" t="s">
        <v>11</v>
      </c>
      <c r="P2031" s="1" t="s">
        <v>3714</v>
      </c>
      <c r="Q2031" s="1" t="s">
        <v>6409</v>
      </c>
      <c r="R2031" s="1" t="s">
        <v>5872</v>
      </c>
      <c r="S2031" s="1" t="s">
        <v>6244</v>
      </c>
      <c r="T2031" s="1">
        <v>3984</v>
      </c>
      <c r="U2031" s="1">
        <v>545</v>
      </c>
      <c r="V2031" s="1">
        <v>545</v>
      </c>
      <c r="AH2031" s="1">
        <v>3439</v>
      </c>
      <c r="AI2031" s="1">
        <v>2810</v>
      </c>
      <c r="AJ2031" s="1">
        <v>311</v>
      </c>
      <c r="AK2031" s="1">
        <v>189</v>
      </c>
      <c r="AR2031" s="1">
        <v>129</v>
      </c>
    </row>
    <row r="2032" spans="1:44" x14ac:dyDescent="0.2">
      <c r="A2032" s="1" t="s">
        <v>1431</v>
      </c>
      <c r="B2032" s="1">
        <v>22131368</v>
      </c>
      <c r="C2032" s="1" t="s">
        <v>7420</v>
      </c>
      <c r="E2032" s="21">
        <v>60</v>
      </c>
      <c r="G2032" s="1" t="s">
        <v>3438</v>
      </c>
      <c r="H2032" s="1" t="s">
        <v>6674</v>
      </c>
      <c r="I2032" s="5">
        <v>40877</v>
      </c>
      <c r="J2032" s="18" t="s">
        <v>11</v>
      </c>
      <c r="K2032" s="15" t="s">
        <v>103</v>
      </c>
      <c r="L2032" s="15" t="s">
        <v>6561</v>
      </c>
      <c r="N2032" s="1" t="s">
        <v>11</v>
      </c>
      <c r="O2032" s="1" t="s">
        <v>11</v>
      </c>
      <c r="P2032" s="1" t="s">
        <v>3443</v>
      </c>
      <c r="Q2032" s="1" t="s">
        <v>33</v>
      </c>
      <c r="R2032" s="2" t="s">
        <v>5927</v>
      </c>
      <c r="S2032" s="1" t="s">
        <v>6270</v>
      </c>
      <c r="T2032" s="1">
        <v>3468</v>
      </c>
      <c r="U2032" s="1">
        <v>3468</v>
      </c>
      <c r="Z2032" s="1">
        <v>3468</v>
      </c>
    </row>
    <row r="2033" spans="1:38" x14ac:dyDescent="0.2">
      <c r="A2033" s="1" t="s">
        <v>3175</v>
      </c>
      <c r="B2033" s="1">
        <v>22132133</v>
      </c>
      <c r="C2033" s="1" t="s">
        <v>7420</v>
      </c>
      <c r="E2033" s="21">
        <v>39840</v>
      </c>
      <c r="G2033" s="1" t="s">
        <v>1620</v>
      </c>
      <c r="H2033" s="1" t="s">
        <v>1621</v>
      </c>
      <c r="I2033" s="5">
        <v>40870</v>
      </c>
      <c r="J2033" s="18" t="s">
        <v>10</v>
      </c>
      <c r="K2033" s="15" t="s">
        <v>181</v>
      </c>
      <c r="L2033" s="15" t="s">
        <v>6493</v>
      </c>
      <c r="N2033" s="5" t="s">
        <v>10</v>
      </c>
      <c r="O2033" s="5" t="s">
        <v>10</v>
      </c>
      <c r="P2033" s="1" t="s">
        <v>3867</v>
      </c>
      <c r="Q2033" s="1" t="s">
        <v>33</v>
      </c>
      <c r="R2033" s="1" t="s">
        <v>5736</v>
      </c>
      <c r="S2033" s="1" t="s">
        <v>6270</v>
      </c>
      <c r="T2033" s="1">
        <v>225</v>
      </c>
      <c r="U2033" s="1">
        <v>225</v>
      </c>
      <c r="Z2033" s="1">
        <v>225</v>
      </c>
    </row>
    <row r="2034" spans="1:38" x14ac:dyDescent="0.2">
      <c r="A2034" s="1" t="s">
        <v>3176</v>
      </c>
      <c r="B2034" s="1">
        <v>22137330</v>
      </c>
      <c r="C2034" s="1" t="s">
        <v>7420</v>
      </c>
      <c r="E2034" s="21">
        <v>43</v>
      </c>
      <c r="G2034" s="1" t="s">
        <v>3177</v>
      </c>
      <c r="H2034" s="1" t="s">
        <v>6619</v>
      </c>
      <c r="I2034" s="5">
        <v>40877</v>
      </c>
      <c r="J2034" s="18" t="s">
        <v>11</v>
      </c>
      <c r="K2034" s="1" t="s">
        <v>1485</v>
      </c>
      <c r="L2034" s="1" t="s">
        <v>3288</v>
      </c>
      <c r="N2034" s="5" t="s">
        <v>10</v>
      </c>
      <c r="O2034" s="5" t="s">
        <v>10</v>
      </c>
      <c r="P2034" s="1" t="s">
        <v>5422</v>
      </c>
      <c r="Q2034" s="1" t="s">
        <v>5423</v>
      </c>
      <c r="R2034" s="1" t="s">
        <v>5997</v>
      </c>
      <c r="S2034" s="1" t="s">
        <v>6243</v>
      </c>
      <c r="T2034" s="1">
        <v>1639</v>
      </c>
      <c r="U2034" s="1">
        <v>1597</v>
      </c>
      <c r="V2034" s="1">
        <v>1597</v>
      </c>
      <c r="AH2034" s="1">
        <v>42</v>
      </c>
      <c r="AI2034" s="1">
        <v>42</v>
      </c>
    </row>
    <row r="2035" spans="1:38" x14ac:dyDescent="0.2">
      <c r="A2035" s="1" t="s">
        <v>1635</v>
      </c>
      <c r="B2035" s="1">
        <v>22138694</v>
      </c>
      <c r="C2035" s="1" t="s">
        <v>7420</v>
      </c>
      <c r="E2035" s="21">
        <v>42</v>
      </c>
      <c r="G2035" s="1" t="s">
        <v>1260</v>
      </c>
      <c r="H2035" s="1" t="s">
        <v>492</v>
      </c>
      <c r="I2035" s="5">
        <v>40881</v>
      </c>
      <c r="J2035" s="18" t="s">
        <v>11</v>
      </c>
      <c r="K2035" s="1" t="s">
        <v>28</v>
      </c>
      <c r="L2035" s="1" t="s">
        <v>3289</v>
      </c>
      <c r="N2035" s="5" t="s">
        <v>10</v>
      </c>
      <c r="O2035" s="5" t="s">
        <v>10</v>
      </c>
      <c r="P2035" s="1" t="s">
        <v>4432</v>
      </c>
      <c r="Q2035" s="1" t="s">
        <v>4340</v>
      </c>
      <c r="R2035" s="1" t="s">
        <v>5718</v>
      </c>
      <c r="S2035" s="1" t="s">
        <v>6242</v>
      </c>
      <c r="T2035" s="1">
        <v>11664</v>
      </c>
      <c r="U2035" s="1">
        <v>6068</v>
      </c>
      <c r="X2035" s="1">
        <v>6068</v>
      </c>
      <c r="AH2035" s="1">
        <v>5596</v>
      </c>
      <c r="AK2035" s="1">
        <v>5596</v>
      </c>
    </row>
    <row r="2036" spans="1:38" x14ac:dyDescent="0.2">
      <c r="A2036" s="1" t="s">
        <v>3178</v>
      </c>
      <c r="B2036" s="1">
        <v>22139419</v>
      </c>
      <c r="C2036" s="1" t="s">
        <v>7420</v>
      </c>
      <c r="E2036" s="21">
        <v>133</v>
      </c>
      <c r="G2036" s="1" t="s">
        <v>6753</v>
      </c>
      <c r="H2036" s="1" t="s">
        <v>7218</v>
      </c>
      <c r="I2036" s="5">
        <v>40877</v>
      </c>
      <c r="J2036" s="18" t="s">
        <v>11</v>
      </c>
      <c r="K2036" s="1" t="s">
        <v>58</v>
      </c>
      <c r="L2036" s="1" t="s">
        <v>3290</v>
      </c>
      <c r="N2036" s="5" t="s">
        <v>10</v>
      </c>
      <c r="O2036" s="5" t="s">
        <v>10</v>
      </c>
      <c r="P2036" s="1" t="s">
        <v>6321</v>
      </c>
      <c r="Q2036" s="1" t="s">
        <v>6322</v>
      </c>
      <c r="R2036" s="1" t="s">
        <v>868</v>
      </c>
      <c r="S2036" s="1" t="s">
        <v>6243</v>
      </c>
      <c r="T2036" s="1">
        <v>37438</v>
      </c>
      <c r="U2036" s="1">
        <v>18600</v>
      </c>
      <c r="V2036" s="1">
        <v>18600</v>
      </c>
      <c r="AH2036" s="1">
        <v>18838</v>
      </c>
      <c r="AI2036" s="1">
        <v>18838</v>
      </c>
    </row>
    <row r="2037" spans="1:38" x14ac:dyDescent="0.2">
      <c r="A2037" s="1" t="s">
        <v>3179</v>
      </c>
      <c r="B2037" s="1">
        <v>22140272</v>
      </c>
      <c r="C2037" s="1" t="s">
        <v>7420</v>
      </c>
      <c r="E2037" s="21">
        <v>116</v>
      </c>
      <c r="G2037" s="1" t="s">
        <v>6606</v>
      </c>
      <c r="H2037" s="1" t="s">
        <v>6691</v>
      </c>
      <c r="I2037" s="5">
        <v>40880</v>
      </c>
      <c r="J2037" s="18" t="s">
        <v>11</v>
      </c>
      <c r="K2037" s="1" t="s">
        <v>541</v>
      </c>
      <c r="L2037" s="1" t="s">
        <v>3291</v>
      </c>
      <c r="N2037" s="1" t="s">
        <v>11</v>
      </c>
      <c r="O2037" s="1" t="s">
        <v>11</v>
      </c>
      <c r="P2037" s="1" t="s">
        <v>5303</v>
      </c>
      <c r="Q2037" s="1" t="s">
        <v>5304</v>
      </c>
      <c r="R2037" s="1" t="s">
        <v>5893</v>
      </c>
      <c r="S2037" s="1" t="s">
        <v>6243</v>
      </c>
      <c r="T2037" s="1">
        <v>1598</v>
      </c>
      <c r="U2037" s="1">
        <v>927</v>
      </c>
      <c r="V2037" s="1">
        <v>927</v>
      </c>
      <c r="AH2037" s="1">
        <v>671</v>
      </c>
      <c r="AI2037" s="1">
        <v>671</v>
      </c>
    </row>
    <row r="2038" spans="1:38" x14ac:dyDescent="0.2">
      <c r="A2038" s="1" t="s">
        <v>45</v>
      </c>
      <c r="B2038" s="1">
        <v>22140526</v>
      </c>
      <c r="C2038" s="1" t="s">
        <v>7420</v>
      </c>
      <c r="E2038" s="21">
        <v>5</v>
      </c>
      <c r="G2038" s="1" t="s">
        <v>6601</v>
      </c>
      <c r="H2038" s="1" t="s">
        <v>571</v>
      </c>
      <c r="I2038" s="5">
        <v>40876</v>
      </c>
      <c r="J2038" s="18" t="s">
        <v>10</v>
      </c>
      <c r="K2038" s="15" t="s">
        <v>181</v>
      </c>
      <c r="L2038" s="15" t="s">
        <v>6492</v>
      </c>
      <c r="N2038" s="5" t="s">
        <v>10</v>
      </c>
      <c r="O2038" s="5" t="s">
        <v>10</v>
      </c>
      <c r="P2038" s="1" t="s">
        <v>6102</v>
      </c>
      <c r="Q2038" s="1" t="s">
        <v>33</v>
      </c>
      <c r="R2038" s="1" t="s">
        <v>6445</v>
      </c>
      <c r="S2038" s="1" t="s">
        <v>6243</v>
      </c>
      <c r="T2038" s="1">
        <v>7732</v>
      </c>
      <c r="U2038" s="1">
        <v>7732</v>
      </c>
      <c r="V2038" s="1">
        <v>7732</v>
      </c>
    </row>
    <row r="2039" spans="1:38" x14ac:dyDescent="0.2">
      <c r="A2039" s="1" t="s">
        <v>2417</v>
      </c>
      <c r="B2039" s="1">
        <v>22142827</v>
      </c>
      <c r="C2039" s="1" t="s">
        <v>7420</v>
      </c>
      <c r="E2039" s="21">
        <v>20</v>
      </c>
      <c r="G2039" s="1" t="s">
        <v>7108</v>
      </c>
      <c r="H2039" s="1" t="s">
        <v>7416</v>
      </c>
      <c r="I2039" s="5">
        <v>40882</v>
      </c>
      <c r="J2039" s="18" t="s">
        <v>11</v>
      </c>
      <c r="K2039" s="1" t="s">
        <v>2053</v>
      </c>
      <c r="L2039" s="1" t="s">
        <v>3292</v>
      </c>
      <c r="N2039" s="5" t="s">
        <v>10</v>
      </c>
      <c r="O2039" s="5" t="s">
        <v>10</v>
      </c>
      <c r="P2039" s="1" t="s">
        <v>5223</v>
      </c>
      <c r="Q2039" s="1" t="s">
        <v>33</v>
      </c>
      <c r="R2039" s="1" t="s">
        <v>5743</v>
      </c>
      <c r="S2039" s="1" t="s">
        <v>6243</v>
      </c>
      <c r="T2039" s="1">
        <v>294</v>
      </c>
      <c r="U2039" s="1">
        <v>294</v>
      </c>
      <c r="V2039" s="1">
        <v>294</v>
      </c>
    </row>
    <row r="2040" spans="1:38" x14ac:dyDescent="0.2">
      <c r="A2040" s="1" t="s">
        <v>254</v>
      </c>
      <c r="B2040" s="1">
        <v>22144573</v>
      </c>
      <c r="C2040" s="1" t="s">
        <v>7420</v>
      </c>
      <c r="E2040" s="21">
        <v>236</v>
      </c>
      <c r="G2040" s="1" t="s">
        <v>6617</v>
      </c>
      <c r="H2040" s="1" t="s">
        <v>7163</v>
      </c>
      <c r="I2040" s="5">
        <v>40882</v>
      </c>
      <c r="J2040" s="18" t="s">
        <v>11</v>
      </c>
      <c r="K2040" s="1" t="s">
        <v>1371</v>
      </c>
      <c r="L2040" s="1" t="s">
        <v>3293</v>
      </c>
      <c r="N2040" s="5" t="s">
        <v>10</v>
      </c>
      <c r="O2040" s="5" t="s">
        <v>10</v>
      </c>
      <c r="P2040" s="1" t="s">
        <v>5416</v>
      </c>
      <c r="Q2040" s="1" t="s">
        <v>5417</v>
      </c>
      <c r="R2040" s="1" t="s">
        <v>868</v>
      </c>
      <c r="S2040" s="1" t="s">
        <v>6243</v>
      </c>
      <c r="T2040" s="1">
        <v>15993</v>
      </c>
      <c r="U2040" s="1">
        <v>9961</v>
      </c>
      <c r="V2040" s="1">
        <v>9961</v>
      </c>
      <c r="AH2040" s="1">
        <v>6032</v>
      </c>
      <c r="AI2040" s="1">
        <v>6032</v>
      </c>
    </row>
    <row r="2041" spans="1:38" x14ac:dyDescent="0.2">
      <c r="A2041" s="1" t="s">
        <v>3180</v>
      </c>
      <c r="B2041" s="1">
        <v>22144915</v>
      </c>
      <c r="C2041" s="1" t="s">
        <v>7420</v>
      </c>
      <c r="E2041" s="21">
        <v>48</v>
      </c>
      <c r="G2041" s="1" t="s">
        <v>6616</v>
      </c>
      <c r="H2041" s="1" t="s">
        <v>7248</v>
      </c>
      <c r="I2041" s="5">
        <v>40878</v>
      </c>
      <c r="J2041" s="18" t="s">
        <v>11</v>
      </c>
      <c r="K2041" s="1" t="s">
        <v>65</v>
      </c>
      <c r="L2041" s="1" t="s">
        <v>3294</v>
      </c>
      <c r="N2041" s="5" t="s">
        <v>10</v>
      </c>
      <c r="O2041" s="5" t="s">
        <v>10</v>
      </c>
      <c r="P2041" s="1" t="s">
        <v>3976</v>
      </c>
      <c r="Q2041" s="1" t="s">
        <v>3977</v>
      </c>
      <c r="R2041" s="1" t="s">
        <v>5689</v>
      </c>
      <c r="S2041" s="1" t="s">
        <v>6244</v>
      </c>
      <c r="T2041" s="1">
        <v>8513</v>
      </c>
      <c r="U2041" s="1">
        <v>4254</v>
      </c>
      <c r="X2041" s="1">
        <v>4254</v>
      </c>
      <c r="AH2041" s="1">
        <v>4259</v>
      </c>
      <c r="AK2041" s="1">
        <v>2120</v>
      </c>
      <c r="AL2041" s="1">
        <v>2139</v>
      </c>
    </row>
    <row r="2042" spans="1:38" x14ac:dyDescent="0.2">
      <c r="A2042" s="1" t="s">
        <v>3184</v>
      </c>
      <c r="B2042" s="1">
        <v>22156575</v>
      </c>
      <c r="C2042" s="1" t="s">
        <v>7420</v>
      </c>
      <c r="E2042" s="21">
        <v>20</v>
      </c>
      <c r="G2042" s="1" t="s">
        <v>6589</v>
      </c>
      <c r="H2042" s="1" t="s">
        <v>7237</v>
      </c>
      <c r="I2042" s="5">
        <v>40886</v>
      </c>
      <c r="J2042" s="18" t="s">
        <v>11</v>
      </c>
      <c r="K2042" s="1" t="s">
        <v>3295</v>
      </c>
      <c r="L2042" s="1" t="s">
        <v>3296</v>
      </c>
      <c r="N2042" s="5" t="s">
        <v>10</v>
      </c>
      <c r="O2042" s="5" t="s">
        <v>10</v>
      </c>
      <c r="P2042" s="1" t="s">
        <v>5330</v>
      </c>
      <c r="Q2042" s="1" t="s">
        <v>5331</v>
      </c>
      <c r="R2042" s="1" t="s">
        <v>5787</v>
      </c>
      <c r="S2042" s="1" t="s">
        <v>6243</v>
      </c>
      <c r="T2042" s="1">
        <v>3158</v>
      </c>
      <c r="U2042" s="1">
        <v>557</v>
      </c>
      <c r="V2042" s="1">
        <v>557</v>
      </c>
      <c r="AH2042" s="1">
        <v>2601</v>
      </c>
      <c r="AI2042" s="1">
        <v>2601</v>
      </c>
    </row>
    <row r="2043" spans="1:38" x14ac:dyDescent="0.2">
      <c r="A2043" s="1" t="s">
        <v>1333</v>
      </c>
      <c r="B2043" s="1">
        <v>22158537</v>
      </c>
      <c r="C2043" s="1" t="s">
        <v>7420</v>
      </c>
      <c r="E2043" s="21">
        <v>3359</v>
      </c>
      <c r="G2043" s="1" t="s">
        <v>61</v>
      </c>
      <c r="H2043" s="1" t="s">
        <v>7396</v>
      </c>
      <c r="I2043" s="5">
        <v>40888</v>
      </c>
      <c r="J2043" s="18" t="s">
        <v>11</v>
      </c>
      <c r="K2043" s="1" t="s">
        <v>28</v>
      </c>
      <c r="L2043" s="1" t="s">
        <v>3297</v>
      </c>
      <c r="N2043" s="5" t="s">
        <v>10</v>
      </c>
      <c r="O2043" s="5" t="s">
        <v>10</v>
      </c>
      <c r="P2043" s="1" t="s">
        <v>4463</v>
      </c>
      <c r="Q2043" s="1" t="s">
        <v>4918</v>
      </c>
      <c r="R2043" s="1" t="s">
        <v>5951</v>
      </c>
      <c r="S2043" s="1" t="s">
        <v>6244</v>
      </c>
      <c r="T2043" s="1">
        <v>54690</v>
      </c>
      <c r="U2043" s="1">
        <v>18817</v>
      </c>
      <c r="X2043" s="1">
        <v>18817</v>
      </c>
      <c r="AH2043" s="1">
        <v>35873</v>
      </c>
      <c r="AK2043" s="1">
        <v>35873</v>
      </c>
    </row>
    <row r="2044" spans="1:38" x14ac:dyDescent="0.2">
      <c r="A2044" s="1" t="s">
        <v>1515</v>
      </c>
      <c r="B2044" s="1">
        <v>22158540</v>
      </c>
      <c r="C2044" s="1" t="s">
        <v>7420</v>
      </c>
      <c r="E2044" s="21">
        <v>35</v>
      </c>
      <c r="G2044" s="1" t="s">
        <v>1012</v>
      </c>
      <c r="H2044" s="1" t="s">
        <v>7415</v>
      </c>
      <c r="I2044" s="5">
        <v>40888</v>
      </c>
      <c r="J2044" s="18" t="s">
        <v>11</v>
      </c>
      <c r="K2044" s="1" t="s">
        <v>28</v>
      </c>
      <c r="L2044" s="1" t="s">
        <v>3298</v>
      </c>
      <c r="N2044" s="5" t="s">
        <v>10</v>
      </c>
      <c r="O2044" s="5" t="s">
        <v>10</v>
      </c>
      <c r="P2044" s="1" t="s">
        <v>4123</v>
      </c>
      <c r="Q2044" s="1" t="s">
        <v>4285</v>
      </c>
      <c r="R2044" s="1" t="s">
        <v>4662</v>
      </c>
      <c r="S2044" s="1" t="s">
        <v>6242</v>
      </c>
      <c r="T2044" s="1">
        <v>8452</v>
      </c>
      <c r="U2044" s="1">
        <v>2972</v>
      </c>
      <c r="X2044" s="1">
        <v>2972</v>
      </c>
      <c r="AH2044" s="1">
        <v>5480</v>
      </c>
      <c r="AK2044" s="1">
        <v>5480</v>
      </c>
    </row>
    <row r="2045" spans="1:38" x14ac:dyDescent="0.2">
      <c r="A2045" s="1" t="s">
        <v>3185</v>
      </c>
      <c r="B2045" s="1">
        <v>22159054</v>
      </c>
      <c r="C2045" s="1" t="s">
        <v>7420</v>
      </c>
      <c r="E2045" s="21">
        <v>285</v>
      </c>
      <c r="G2045" s="1" t="s">
        <v>89</v>
      </c>
      <c r="H2045" s="1" t="s">
        <v>7126</v>
      </c>
      <c r="I2045" s="8">
        <v>40878</v>
      </c>
      <c r="J2045" s="18" t="s">
        <v>11</v>
      </c>
      <c r="K2045" s="1" t="s">
        <v>290</v>
      </c>
      <c r="L2045" s="1" t="s">
        <v>3300</v>
      </c>
      <c r="N2045" s="5" t="s">
        <v>10</v>
      </c>
      <c r="O2045" s="5" t="s">
        <v>10</v>
      </c>
      <c r="P2045" s="1" t="s">
        <v>3299</v>
      </c>
      <c r="Q2045" s="1" t="s">
        <v>6104</v>
      </c>
      <c r="R2045" s="1" t="s">
        <v>5779</v>
      </c>
      <c r="S2045" s="1" t="s">
        <v>6244</v>
      </c>
      <c r="T2045" s="1">
        <v>10782</v>
      </c>
      <c r="U2045" s="1">
        <v>1009</v>
      </c>
      <c r="W2045" s="1">
        <v>1009</v>
      </c>
      <c r="AH2045" s="1">
        <v>9773</v>
      </c>
      <c r="AI2045" s="1">
        <v>9773</v>
      </c>
    </row>
    <row r="2046" spans="1:38" x14ac:dyDescent="0.2">
      <c r="A2046" s="1" t="s">
        <v>1135</v>
      </c>
      <c r="B2046" s="1">
        <v>22170361</v>
      </c>
      <c r="C2046" s="1" t="s">
        <v>7420</v>
      </c>
      <c r="E2046" s="21">
        <v>26</v>
      </c>
      <c r="G2046" s="1" t="s">
        <v>6779</v>
      </c>
      <c r="H2046" s="1" t="s">
        <v>7240</v>
      </c>
      <c r="I2046" s="5">
        <v>40891</v>
      </c>
      <c r="J2046" s="18" t="s">
        <v>10</v>
      </c>
      <c r="K2046" s="15" t="s">
        <v>2107</v>
      </c>
      <c r="L2046" s="15" t="s">
        <v>6543</v>
      </c>
      <c r="N2046" s="5" t="s">
        <v>10</v>
      </c>
      <c r="O2046" s="5" t="s">
        <v>10</v>
      </c>
      <c r="P2046" s="1" t="s">
        <v>3326</v>
      </c>
      <c r="Q2046" s="1" t="s">
        <v>33</v>
      </c>
      <c r="R2046" s="1" t="s">
        <v>5916</v>
      </c>
      <c r="S2046" s="1" t="s">
        <v>6242</v>
      </c>
      <c r="T2046" s="1">
        <v>8031</v>
      </c>
      <c r="U2046" s="1">
        <v>8031</v>
      </c>
      <c r="X2046" s="1">
        <v>8031</v>
      </c>
    </row>
    <row r="2047" spans="1:38" x14ac:dyDescent="0.2">
      <c r="A2047" s="1" t="s">
        <v>1837</v>
      </c>
      <c r="B2047" s="1">
        <v>22170493</v>
      </c>
      <c r="C2047" s="1" t="s">
        <v>7420</v>
      </c>
      <c r="E2047" s="21">
        <v>13</v>
      </c>
      <c r="G2047" s="1" t="s">
        <v>3188</v>
      </c>
      <c r="H2047" s="1" t="s">
        <v>1843</v>
      </c>
      <c r="I2047" s="5">
        <v>40882</v>
      </c>
      <c r="J2047" s="18" t="s">
        <v>11</v>
      </c>
      <c r="K2047" s="1" t="s">
        <v>811</v>
      </c>
      <c r="L2047" s="1" t="s">
        <v>3301</v>
      </c>
      <c r="N2047" s="5" t="s">
        <v>10</v>
      </c>
      <c r="O2047" s="5" t="s">
        <v>10</v>
      </c>
      <c r="P2047" s="1" t="s">
        <v>5328</v>
      </c>
      <c r="Q2047" s="1" t="s">
        <v>5329</v>
      </c>
      <c r="R2047" s="1" t="s">
        <v>5782</v>
      </c>
      <c r="S2047" s="1" t="s">
        <v>6243</v>
      </c>
      <c r="T2047" s="1">
        <v>12683</v>
      </c>
      <c r="U2047" s="1">
        <v>3967</v>
      </c>
      <c r="V2047" s="1">
        <v>3967</v>
      </c>
      <c r="AH2047" s="1">
        <v>8716</v>
      </c>
      <c r="AI2047" s="1">
        <v>8716</v>
      </c>
    </row>
    <row r="2048" spans="1:38" x14ac:dyDescent="0.2">
      <c r="A2048" s="1" t="s">
        <v>1644</v>
      </c>
      <c r="B2048" s="1">
        <v>22171074</v>
      </c>
      <c r="C2048" s="1" t="s">
        <v>7420</v>
      </c>
      <c r="E2048" s="21">
        <v>17</v>
      </c>
      <c r="G2048" s="1" t="s">
        <v>6969</v>
      </c>
      <c r="H2048" s="1" t="s">
        <v>7327</v>
      </c>
      <c r="I2048" s="5">
        <v>40891</v>
      </c>
      <c r="J2048" s="18" t="s">
        <v>11</v>
      </c>
      <c r="K2048" s="1" t="s">
        <v>103</v>
      </c>
      <c r="L2048" s="1" t="s">
        <v>3302</v>
      </c>
      <c r="N2048" s="1" t="s">
        <v>11</v>
      </c>
      <c r="O2048" s="1" t="s">
        <v>11</v>
      </c>
      <c r="P2048" s="1" t="s">
        <v>6695</v>
      </c>
      <c r="Q2048" s="1" t="s">
        <v>6696</v>
      </c>
      <c r="R2048" s="1" t="s">
        <v>5726</v>
      </c>
      <c r="S2048" s="1" t="s">
        <v>6242</v>
      </c>
      <c r="T2048" s="1">
        <v>3495</v>
      </c>
      <c r="U2048" s="1">
        <v>1999</v>
      </c>
      <c r="X2048" s="1">
        <v>1999</v>
      </c>
      <c r="AH2048" s="1">
        <v>1496</v>
      </c>
      <c r="AK2048" s="1">
        <v>1496</v>
      </c>
    </row>
    <row r="2049" spans="1:37" x14ac:dyDescent="0.2">
      <c r="A2049" s="1" t="s">
        <v>3189</v>
      </c>
      <c r="B2049" s="1">
        <v>22174011</v>
      </c>
      <c r="C2049" s="1" t="s">
        <v>7420</v>
      </c>
      <c r="E2049" s="21">
        <v>170</v>
      </c>
      <c r="G2049" s="1" t="s">
        <v>6836</v>
      </c>
      <c r="H2049" s="1" t="s">
        <v>7188</v>
      </c>
      <c r="I2049" s="5">
        <v>40893</v>
      </c>
      <c r="J2049" s="18" t="s">
        <v>10</v>
      </c>
      <c r="K2049" s="15" t="s">
        <v>6573</v>
      </c>
      <c r="L2049" s="15" t="s">
        <v>6540</v>
      </c>
      <c r="N2049" s="5" t="s">
        <v>10</v>
      </c>
      <c r="O2049" s="5" t="s">
        <v>10</v>
      </c>
      <c r="P2049" s="1" t="s">
        <v>5321</v>
      </c>
      <c r="Q2049" s="1" t="s">
        <v>33</v>
      </c>
      <c r="R2049" s="1" t="s">
        <v>5898</v>
      </c>
      <c r="S2049" s="1" t="s">
        <v>6243</v>
      </c>
      <c r="T2049" s="1">
        <v>5036</v>
      </c>
      <c r="U2049" s="1">
        <v>5036</v>
      </c>
      <c r="V2049" s="1">
        <v>5036</v>
      </c>
    </row>
    <row r="2050" spans="1:37" x14ac:dyDescent="0.2">
      <c r="A2050" s="1" t="s">
        <v>3190</v>
      </c>
      <c r="B2050" s="1">
        <v>22174390</v>
      </c>
      <c r="C2050" s="1" t="s">
        <v>7420</v>
      </c>
      <c r="E2050" s="21">
        <v>41</v>
      </c>
      <c r="G2050" s="1" t="s">
        <v>6596</v>
      </c>
      <c r="H2050" s="1" t="s">
        <v>7269</v>
      </c>
      <c r="I2050" s="5">
        <v>40892</v>
      </c>
      <c r="J2050" s="18" t="s">
        <v>11</v>
      </c>
      <c r="K2050" s="1" t="s">
        <v>3303</v>
      </c>
      <c r="L2050" s="1" t="s">
        <v>3304</v>
      </c>
      <c r="N2050" s="5" t="s">
        <v>10</v>
      </c>
      <c r="O2050" s="5" t="s">
        <v>10</v>
      </c>
      <c r="P2050" s="1" t="s">
        <v>5300</v>
      </c>
      <c r="Q2050" s="1" t="s">
        <v>33</v>
      </c>
      <c r="R2050" s="1" t="s">
        <v>5770</v>
      </c>
      <c r="S2050" s="1" t="s">
        <v>6243</v>
      </c>
      <c r="T2050" s="1">
        <v>472</v>
      </c>
      <c r="U2050" s="1">
        <v>472</v>
      </c>
      <c r="V2050" s="1">
        <v>472</v>
      </c>
    </row>
    <row r="2051" spans="1:37" x14ac:dyDescent="0.2">
      <c r="A2051" s="1" t="s">
        <v>3191</v>
      </c>
      <c r="B2051" s="1">
        <v>22174851</v>
      </c>
      <c r="C2051" s="1" t="s">
        <v>7420</v>
      </c>
      <c r="E2051" s="21">
        <v>197</v>
      </c>
      <c r="G2051" s="1" t="s">
        <v>6848</v>
      </c>
      <c r="H2051" s="1" t="s">
        <v>7172</v>
      </c>
      <c r="I2051" s="5">
        <v>40889</v>
      </c>
      <c r="J2051" s="18" t="s">
        <v>11</v>
      </c>
      <c r="K2051" s="1" t="s">
        <v>181</v>
      </c>
      <c r="L2051" s="1" t="s">
        <v>3305</v>
      </c>
      <c r="N2051" s="5" t="s">
        <v>10</v>
      </c>
      <c r="O2051" s="5" t="s">
        <v>10</v>
      </c>
      <c r="P2051" s="1" t="s">
        <v>6323</v>
      </c>
      <c r="Q2051" s="1" t="s">
        <v>33</v>
      </c>
      <c r="R2051" s="1" t="s">
        <v>5774</v>
      </c>
      <c r="S2051" s="1" t="s">
        <v>6440</v>
      </c>
      <c r="T2051" s="1">
        <v>798</v>
      </c>
      <c r="U2051" s="1">
        <v>798</v>
      </c>
      <c r="W2051" s="1">
        <v>798</v>
      </c>
    </row>
    <row r="2052" spans="1:37" x14ac:dyDescent="0.2">
      <c r="A2052" s="1" t="s">
        <v>3192</v>
      </c>
      <c r="B2052" s="1">
        <v>22174901</v>
      </c>
      <c r="C2052" s="1" t="s">
        <v>7420</v>
      </c>
      <c r="E2052" s="21">
        <v>5</v>
      </c>
      <c r="G2052" s="1" t="s">
        <v>6839</v>
      </c>
      <c r="H2052" s="1" t="s">
        <v>6613</v>
      </c>
      <c r="I2052" s="5">
        <v>40885</v>
      </c>
      <c r="J2052" s="18" t="s">
        <v>11</v>
      </c>
      <c r="K2052" s="1" t="s">
        <v>181</v>
      </c>
      <c r="L2052" s="1" t="s">
        <v>3308</v>
      </c>
      <c r="N2052" s="5" t="s">
        <v>10</v>
      </c>
      <c r="O2052" s="5" t="s">
        <v>10</v>
      </c>
      <c r="P2052" s="1" t="s">
        <v>3306</v>
      </c>
      <c r="Q2052" s="1" t="s">
        <v>3307</v>
      </c>
      <c r="R2052" s="1" t="s">
        <v>5821</v>
      </c>
      <c r="S2052" s="1" t="s">
        <v>6242</v>
      </c>
      <c r="T2052" s="1">
        <v>1420</v>
      </c>
      <c r="U2052" s="1">
        <v>192</v>
      </c>
      <c r="X2052" s="1">
        <v>192</v>
      </c>
      <c r="AH2052" s="1">
        <v>1228</v>
      </c>
      <c r="AK2052" s="1">
        <v>1228</v>
      </c>
    </row>
    <row r="2053" spans="1:37" x14ac:dyDescent="0.2">
      <c r="A2053" s="1" t="s">
        <v>3193</v>
      </c>
      <c r="B2053" s="1">
        <v>22178785</v>
      </c>
      <c r="C2053" s="1" t="s">
        <v>7420</v>
      </c>
      <c r="E2053" s="21">
        <v>35</v>
      </c>
      <c r="G2053" s="1" t="s">
        <v>1998</v>
      </c>
      <c r="H2053" s="1" t="s">
        <v>6687</v>
      </c>
      <c r="I2053" s="5">
        <v>40885</v>
      </c>
      <c r="J2053" s="18" t="s">
        <v>10</v>
      </c>
      <c r="K2053" s="15" t="s">
        <v>6565</v>
      </c>
      <c r="L2053" s="15" t="s">
        <v>6560</v>
      </c>
      <c r="N2053" s="1" t="s">
        <v>11</v>
      </c>
      <c r="O2053" s="1" t="s">
        <v>11</v>
      </c>
      <c r="P2053" s="1" t="s">
        <v>3671</v>
      </c>
      <c r="Q2053" s="1" t="s">
        <v>3672</v>
      </c>
      <c r="R2053" s="1" t="s">
        <v>5760</v>
      </c>
      <c r="S2053" s="1" t="s">
        <v>6243</v>
      </c>
      <c r="T2053" s="1">
        <v>1692</v>
      </c>
      <c r="U2053" s="1">
        <v>555</v>
      </c>
      <c r="V2053" s="1">
        <v>555</v>
      </c>
      <c r="AH2053" s="1">
        <v>1137</v>
      </c>
      <c r="AI2053" s="1">
        <v>1137</v>
      </c>
    </row>
    <row r="2054" spans="1:37" x14ac:dyDescent="0.2">
      <c r="A2054" s="1" t="s">
        <v>3416</v>
      </c>
      <c r="B2054" s="1">
        <v>22179738</v>
      </c>
      <c r="C2054" s="1" t="s">
        <v>7420</v>
      </c>
      <c r="D2054" s="1">
        <v>1</v>
      </c>
      <c r="E2054" s="21">
        <v>0</v>
      </c>
      <c r="G2054" s="1" t="s">
        <v>3439</v>
      </c>
      <c r="H2054" s="1" t="s">
        <v>7264</v>
      </c>
      <c r="I2054" s="5">
        <v>40893</v>
      </c>
      <c r="J2054" s="18" t="s">
        <v>11</v>
      </c>
      <c r="K2054" s="15" t="s">
        <v>6566</v>
      </c>
      <c r="L2054" s="15" t="s">
        <v>6562</v>
      </c>
      <c r="N2054" s="5" t="s">
        <v>10</v>
      </c>
      <c r="O2054" s="5" t="s">
        <v>10</v>
      </c>
      <c r="P2054" s="1" t="s">
        <v>3444</v>
      </c>
      <c r="Q2054" s="1" t="s">
        <v>33</v>
      </c>
      <c r="R2054" s="2" t="s">
        <v>5727</v>
      </c>
      <c r="S2054" s="1" t="s">
        <v>6242</v>
      </c>
      <c r="T2054" s="1">
        <v>62</v>
      </c>
      <c r="U2054" s="1">
        <v>62</v>
      </c>
      <c r="X2054" s="1">
        <v>62</v>
      </c>
    </row>
    <row r="2055" spans="1:37" x14ac:dyDescent="0.2">
      <c r="A2055" s="1" t="s">
        <v>3194</v>
      </c>
      <c r="B2055" s="1">
        <v>22180457</v>
      </c>
      <c r="C2055" s="1" t="s">
        <v>7420</v>
      </c>
      <c r="E2055" s="21">
        <v>16</v>
      </c>
      <c r="G2055" s="1" t="s">
        <v>6591</v>
      </c>
      <c r="H2055" s="1" t="s">
        <v>6677</v>
      </c>
      <c r="I2055" s="5">
        <v>40893</v>
      </c>
      <c r="J2055" s="18" t="s">
        <v>11</v>
      </c>
      <c r="K2055" s="1" t="s">
        <v>103</v>
      </c>
      <c r="L2055" s="1" t="s">
        <v>3311</v>
      </c>
      <c r="N2055" s="1" t="s">
        <v>11</v>
      </c>
      <c r="O2055" s="1" t="s">
        <v>11</v>
      </c>
      <c r="P2055" s="1" t="s">
        <v>3309</v>
      </c>
      <c r="Q2055" s="1" t="s">
        <v>3310</v>
      </c>
      <c r="R2055" s="1" t="s">
        <v>5738</v>
      </c>
      <c r="S2055" s="1" t="s">
        <v>6242</v>
      </c>
      <c r="T2055" s="1">
        <v>462</v>
      </c>
      <c r="U2055" s="1">
        <v>240</v>
      </c>
      <c r="X2055" s="1">
        <v>240</v>
      </c>
      <c r="AH2055" s="1">
        <v>222</v>
      </c>
      <c r="AK2055" s="1">
        <v>222</v>
      </c>
    </row>
    <row r="2056" spans="1:37" x14ac:dyDescent="0.2">
      <c r="A2056" s="1" t="s">
        <v>1431</v>
      </c>
      <c r="B2056" s="1">
        <v>22182935</v>
      </c>
      <c r="C2056" s="1" t="s">
        <v>7420</v>
      </c>
      <c r="E2056" s="21">
        <v>66737</v>
      </c>
      <c r="G2056" s="1" t="s">
        <v>112</v>
      </c>
      <c r="H2056" s="1" t="s">
        <v>7145</v>
      </c>
      <c r="I2056" s="5">
        <v>40897</v>
      </c>
      <c r="J2056" s="18" t="s">
        <v>11</v>
      </c>
      <c r="K2056" s="1" t="s">
        <v>71</v>
      </c>
      <c r="L2056" s="1" t="s">
        <v>3312</v>
      </c>
      <c r="N2056" s="5" t="s">
        <v>10</v>
      </c>
      <c r="O2056" s="5" t="s">
        <v>10</v>
      </c>
      <c r="P2056" s="1" t="s">
        <v>5317</v>
      </c>
      <c r="Q2056" s="1" t="s">
        <v>5318</v>
      </c>
      <c r="R2056" s="1" t="s">
        <v>5786</v>
      </c>
      <c r="S2056" s="1" t="s">
        <v>6244</v>
      </c>
      <c r="T2056" s="1">
        <v>18598</v>
      </c>
      <c r="U2056" s="1">
        <v>14755</v>
      </c>
      <c r="V2056" s="1">
        <v>12755</v>
      </c>
      <c r="X2056" s="1">
        <v>2000</v>
      </c>
      <c r="AH2056" s="1">
        <v>3843</v>
      </c>
      <c r="AI2056" s="1">
        <v>3843</v>
      </c>
    </row>
    <row r="2057" spans="1:37" x14ac:dyDescent="0.2">
      <c r="A2057" s="1" t="s">
        <v>3195</v>
      </c>
      <c r="B2057" s="1">
        <v>22184326</v>
      </c>
      <c r="C2057" s="1" t="s">
        <v>7420</v>
      </c>
      <c r="E2057" s="21">
        <v>138</v>
      </c>
      <c r="G2057" s="1" t="s">
        <v>6744</v>
      </c>
      <c r="H2057" s="1" t="s">
        <v>7222</v>
      </c>
      <c r="I2057" s="5">
        <v>40898</v>
      </c>
      <c r="J2057" s="18" t="s">
        <v>10</v>
      </c>
      <c r="K2057" s="15" t="s">
        <v>293</v>
      </c>
      <c r="L2057" s="15" t="s">
        <v>6551</v>
      </c>
      <c r="N2057" s="5" t="s">
        <v>10</v>
      </c>
      <c r="O2057" s="5" t="s">
        <v>10</v>
      </c>
      <c r="P2057" s="1" t="s">
        <v>6324</v>
      </c>
      <c r="Q2057" s="1" t="s">
        <v>6325</v>
      </c>
      <c r="R2057" s="1" t="s">
        <v>5720</v>
      </c>
      <c r="S2057" s="1" t="s">
        <v>6243</v>
      </c>
      <c r="T2057" s="1">
        <v>6246</v>
      </c>
      <c r="U2057" s="1">
        <v>3615</v>
      </c>
      <c r="V2057" s="1">
        <v>3615</v>
      </c>
      <c r="AH2057" s="1">
        <v>2631</v>
      </c>
      <c r="AI2057" s="1">
        <v>2631</v>
      </c>
    </row>
    <row r="2058" spans="1:37" x14ac:dyDescent="0.2">
      <c r="A2058" s="1" t="s">
        <v>3196</v>
      </c>
      <c r="B2058" s="1">
        <v>22188591</v>
      </c>
      <c r="C2058" s="1" t="s">
        <v>7420</v>
      </c>
      <c r="E2058" s="21">
        <v>7</v>
      </c>
      <c r="G2058" s="1" t="s">
        <v>6587</v>
      </c>
      <c r="H2058" s="1" t="s">
        <v>7052</v>
      </c>
      <c r="I2058" s="5">
        <v>40898</v>
      </c>
      <c r="J2058" s="18" t="s">
        <v>11</v>
      </c>
      <c r="K2058" s="1" t="s">
        <v>220</v>
      </c>
      <c r="L2058" s="1" t="s">
        <v>3315</v>
      </c>
      <c r="N2058" s="5" t="s">
        <v>10</v>
      </c>
      <c r="O2058" s="5" t="s">
        <v>10</v>
      </c>
      <c r="P2058" s="1" t="s">
        <v>3313</v>
      </c>
      <c r="Q2058" s="1" t="s">
        <v>3314</v>
      </c>
      <c r="R2058" s="1" t="s">
        <v>5894</v>
      </c>
      <c r="S2058" s="1" t="s">
        <v>6242</v>
      </c>
      <c r="T2058" s="1">
        <v>2025</v>
      </c>
      <c r="U2058" s="1">
        <v>980</v>
      </c>
      <c r="X2058" s="1">
        <v>980</v>
      </c>
      <c r="AH2058" s="1">
        <v>1045</v>
      </c>
      <c r="AK2058" s="1">
        <v>1045</v>
      </c>
    </row>
    <row r="2059" spans="1:37" x14ac:dyDescent="0.2">
      <c r="A2059" s="1" t="s">
        <v>3197</v>
      </c>
      <c r="B2059" s="1">
        <v>22190364</v>
      </c>
      <c r="C2059" s="1" t="s">
        <v>7420</v>
      </c>
      <c r="E2059" s="21">
        <v>80</v>
      </c>
      <c r="G2059" s="1" t="s">
        <v>175</v>
      </c>
      <c r="H2059" s="1" t="s">
        <v>7402</v>
      </c>
      <c r="I2059" s="8">
        <v>40878</v>
      </c>
      <c r="J2059" s="18" t="s">
        <v>11</v>
      </c>
      <c r="K2059" s="1" t="s">
        <v>549</v>
      </c>
      <c r="L2059" s="1" t="s">
        <v>3316</v>
      </c>
      <c r="N2059" s="5" t="s">
        <v>10</v>
      </c>
      <c r="O2059" s="5" t="s">
        <v>10</v>
      </c>
      <c r="P2059" s="1" t="s">
        <v>5316</v>
      </c>
      <c r="Q2059" s="1" t="s">
        <v>33</v>
      </c>
      <c r="R2059" s="1" t="s">
        <v>5785</v>
      </c>
      <c r="S2059" s="1" t="s">
        <v>6243</v>
      </c>
      <c r="T2059" s="1">
        <v>17698</v>
      </c>
      <c r="U2059" s="1">
        <v>17698</v>
      </c>
      <c r="V2059" s="1">
        <v>17698</v>
      </c>
    </row>
    <row r="2060" spans="1:37" x14ac:dyDescent="0.2">
      <c r="A2060" s="1" t="s">
        <v>2040</v>
      </c>
      <c r="B2060" s="1">
        <v>22190428</v>
      </c>
      <c r="C2060" s="1" t="s">
        <v>7420</v>
      </c>
      <c r="E2060" s="21">
        <v>4</v>
      </c>
      <c r="G2060" s="1" t="s">
        <v>89</v>
      </c>
      <c r="H2060" s="1" t="s">
        <v>7126</v>
      </c>
      <c r="I2060" s="5">
        <v>40897</v>
      </c>
      <c r="J2060" s="18" t="s">
        <v>10</v>
      </c>
      <c r="K2060" s="15" t="s">
        <v>3264</v>
      </c>
      <c r="L2060" s="15" t="s">
        <v>6556</v>
      </c>
      <c r="N2060" s="5" t="s">
        <v>10</v>
      </c>
      <c r="O2060" s="5" t="s">
        <v>10</v>
      </c>
      <c r="P2060" s="1" t="s">
        <v>3565</v>
      </c>
      <c r="Q2060" s="1" t="s">
        <v>6390</v>
      </c>
      <c r="R2060" s="1" t="s">
        <v>6031</v>
      </c>
      <c r="S2060" s="1" t="s">
        <v>6243</v>
      </c>
      <c r="T2060" s="1">
        <v>10572</v>
      </c>
      <c r="U2060" s="1">
        <v>2283</v>
      </c>
      <c r="V2060" s="1">
        <v>2283</v>
      </c>
      <c r="AH2060" s="1">
        <v>8289</v>
      </c>
      <c r="AI2060" s="1">
        <v>8289</v>
      </c>
    </row>
    <row r="2061" spans="1:37" x14ac:dyDescent="0.2">
      <c r="A2061" s="1" t="s">
        <v>2472</v>
      </c>
      <c r="B2061" s="1">
        <v>22197929</v>
      </c>
      <c r="C2061" s="1" t="s">
        <v>7420</v>
      </c>
      <c r="E2061" s="21">
        <v>74</v>
      </c>
      <c r="G2061" s="1" t="s">
        <v>6877</v>
      </c>
      <c r="H2061" s="1" t="s">
        <v>13</v>
      </c>
      <c r="I2061" s="5">
        <v>40902</v>
      </c>
      <c r="J2061" s="18" t="s">
        <v>11</v>
      </c>
      <c r="K2061" s="1" t="s">
        <v>28</v>
      </c>
      <c r="L2061" s="1" t="s">
        <v>3317</v>
      </c>
      <c r="N2061" s="5" t="s">
        <v>10</v>
      </c>
      <c r="O2061" s="5" t="s">
        <v>10</v>
      </c>
      <c r="P2061" s="1" t="s">
        <v>4424</v>
      </c>
      <c r="Q2061" s="1" t="s">
        <v>6637</v>
      </c>
      <c r="R2061" s="1" t="s">
        <v>5696</v>
      </c>
      <c r="S2061" s="1" t="s">
        <v>6242</v>
      </c>
      <c r="T2061" s="1">
        <v>11871</v>
      </c>
      <c r="U2061" s="1">
        <v>5704</v>
      </c>
      <c r="X2061" s="1">
        <v>5704</v>
      </c>
      <c r="AH2061" s="1">
        <v>6167</v>
      </c>
      <c r="AK2061" s="1">
        <v>6167</v>
      </c>
    </row>
    <row r="2062" spans="1:37" x14ac:dyDescent="0.2">
      <c r="A2062" s="1" t="s">
        <v>3199</v>
      </c>
      <c r="B2062" s="1">
        <v>22197932</v>
      </c>
      <c r="C2062" s="1" t="s">
        <v>7420</v>
      </c>
      <c r="E2062" s="21">
        <v>21</v>
      </c>
      <c r="G2062" s="1" t="s">
        <v>824</v>
      </c>
      <c r="H2062" s="1" t="s">
        <v>137</v>
      </c>
      <c r="I2062" s="5">
        <v>40902</v>
      </c>
      <c r="J2062" s="18" t="s">
        <v>11</v>
      </c>
      <c r="K2062" s="1" t="s">
        <v>28</v>
      </c>
      <c r="L2062" s="1" t="s">
        <v>3318</v>
      </c>
      <c r="N2062" s="5" t="s">
        <v>10</v>
      </c>
      <c r="O2062" s="5" t="s">
        <v>10</v>
      </c>
      <c r="P2062" s="1" t="s">
        <v>5319</v>
      </c>
      <c r="Q2062" s="1" t="s">
        <v>5320</v>
      </c>
      <c r="R2062" s="1" t="s">
        <v>868</v>
      </c>
      <c r="S2062" s="1" t="s">
        <v>6243</v>
      </c>
      <c r="T2062" s="1">
        <v>51423</v>
      </c>
      <c r="U2062" s="1">
        <v>26171</v>
      </c>
      <c r="V2062" s="1">
        <v>26171</v>
      </c>
      <c r="AH2062" s="1">
        <v>25252</v>
      </c>
      <c r="AI2062" s="1">
        <v>25252</v>
      </c>
    </row>
    <row r="2063" spans="1:37" x14ac:dyDescent="0.2">
      <c r="A2063" s="1" t="s">
        <v>2181</v>
      </c>
      <c r="B2063" s="1">
        <v>22197933</v>
      </c>
      <c r="C2063" s="1" t="s">
        <v>7420</v>
      </c>
      <c r="E2063" s="21">
        <v>38</v>
      </c>
      <c r="G2063" s="1" t="s">
        <v>3200</v>
      </c>
      <c r="H2063" s="1" t="s">
        <v>6685</v>
      </c>
      <c r="I2063" s="5">
        <v>40902</v>
      </c>
      <c r="J2063" s="18" t="s">
        <v>11</v>
      </c>
      <c r="K2063" s="1" t="s">
        <v>28</v>
      </c>
      <c r="L2063" s="1" t="s">
        <v>3319</v>
      </c>
      <c r="N2063" s="1" t="s">
        <v>11</v>
      </c>
      <c r="O2063" s="1" t="s">
        <v>11</v>
      </c>
      <c r="P2063" s="1" t="s">
        <v>4124</v>
      </c>
      <c r="Q2063" s="1" t="s">
        <v>4510</v>
      </c>
      <c r="R2063" s="1" t="s">
        <v>5926</v>
      </c>
      <c r="S2063" s="1" t="s">
        <v>6242</v>
      </c>
      <c r="T2063" s="1">
        <v>8661</v>
      </c>
      <c r="U2063" s="1">
        <v>2638</v>
      </c>
      <c r="X2063" s="1">
        <v>2638</v>
      </c>
      <c r="AH2063" s="1">
        <v>6023</v>
      </c>
      <c r="AK2063" s="1">
        <v>6023</v>
      </c>
    </row>
    <row r="2064" spans="1:37" x14ac:dyDescent="0.2">
      <c r="A2064" s="1" t="s">
        <v>258</v>
      </c>
      <c r="B2064" s="1">
        <v>22199011</v>
      </c>
      <c r="C2064" s="1" t="s">
        <v>7420</v>
      </c>
      <c r="E2064" s="21">
        <v>199</v>
      </c>
      <c r="G2064" s="1" t="s">
        <v>7036</v>
      </c>
      <c r="H2064" s="1" t="s">
        <v>7212</v>
      </c>
      <c r="I2064" s="5">
        <v>40900</v>
      </c>
      <c r="J2064" s="18" t="s">
        <v>11</v>
      </c>
      <c r="K2064" s="1" t="s">
        <v>551</v>
      </c>
      <c r="L2064" s="1" t="s">
        <v>3320</v>
      </c>
      <c r="N2064" s="5" t="s">
        <v>10</v>
      </c>
      <c r="O2064" s="5" t="s">
        <v>10</v>
      </c>
      <c r="P2064" s="1" t="s">
        <v>5288</v>
      </c>
      <c r="Q2064" s="1" t="s">
        <v>5289</v>
      </c>
      <c r="R2064" s="1" t="s">
        <v>6666</v>
      </c>
      <c r="S2064" s="1" t="s">
        <v>6243</v>
      </c>
      <c r="T2064" s="1">
        <v>58409</v>
      </c>
      <c r="U2064" s="1">
        <v>41692</v>
      </c>
      <c r="V2064" s="1">
        <v>41692</v>
      </c>
      <c r="AH2064" s="1">
        <v>16717</v>
      </c>
      <c r="AI2064" s="1">
        <v>16717</v>
      </c>
    </row>
    <row r="2065" spans="1:44" x14ac:dyDescent="0.2">
      <c r="A2065" s="1" t="s">
        <v>3201</v>
      </c>
      <c r="B2065" s="1">
        <v>22199298</v>
      </c>
      <c r="C2065" s="1" t="s">
        <v>7420</v>
      </c>
      <c r="E2065" s="21">
        <v>8</v>
      </c>
      <c r="G2065" s="1" t="s">
        <v>6609</v>
      </c>
      <c r="H2065" s="1" t="s">
        <v>6610</v>
      </c>
      <c r="I2065" s="8">
        <v>40878</v>
      </c>
      <c r="J2065" s="18" t="s">
        <v>10</v>
      </c>
      <c r="K2065" s="15" t="s">
        <v>2974</v>
      </c>
      <c r="L2065" s="15" t="s">
        <v>6533</v>
      </c>
      <c r="N2065" s="5" t="s">
        <v>10</v>
      </c>
      <c r="O2065" s="5" t="s">
        <v>10</v>
      </c>
      <c r="P2065" s="1" t="s">
        <v>3406</v>
      </c>
      <c r="Q2065" s="1" t="s">
        <v>3407</v>
      </c>
      <c r="R2065" s="1" t="s">
        <v>5920</v>
      </c>
      <c r="S2065" s="1" t="s">
        <v>6242</v>
      </c>
      <c r="T2065" s="1">
        <v>238</v>
      </c>
      <c r="U2065" s="1">
        <v>93</v>
      </c>
      <c r="X2065" s="1">
        <v>93</v>
      </c>
      <c r="AH2065" s="1">
        <v>145</v>
      </c>
      <c r="AK2065" s="1">
        <v>145</v>
      </c>
    </row>
    <row r="2066" spans="1:44" x14ac:dyDescent="0.2">
      <c r="A2066" s="1" t="s">
        <v>3202</v>
      </c>
      <c r="B2066" s="1">
        <v>22205395</v>
      </c>
      <c r="C2066" s="1" t="s">
        <v>7420</v>
      </c>
      <c r="E2066" s="21">
        <v>46</v>
      </c>
      <c r="G2066" s="1" t="s">
        <v>6853</v>
      </c>
      <c r="H2066" s="1" t="s">
        <v>7278</v>
      </c>
      <c r="I2066" s="5">
        <v>40906</v>
      </c>
      <c r="J2066" s="18" t="s">
        <v>10</v>
      </c>
      <c r="K2066" s="15" t="s">
        <v>6574</v>
      </c>
      <c r="L2066" s="15" t="s">
        <v>6541</v>
      </c>
      <c r="N2066" s="5" t="s">
        <v>10</v>
      </c>
      <c r="O2066" s="5" t="s">
        <v>10</v>
      </c>
      <c r="P2066" s="1" t="s">
        <v>6327</v>
      </c>
      <c r="Q2066" s="1" t="s">
        <v>6328</v>
      </c>
      <c r="R2066" s="1" t="s">
        <v>5994</v>
      </c>
      <c r="S2066" s="1" t="s">
        <v>6440</v>
      </c>
      <c r="T2066" s="1">
        <v>1132</v>
      </c>
      <c r="U2066" s="1">
        <v>707</v>
      </c>
      <c r="W2066" s="1">
        <v>707</v>
      </c>
      <c r="AH2066" s="1">
        <v>425</v>
      </c>
      <c r="AJ2066" s="1">
        <v>425</v>
      </c>
    </row>
    <row r="2067" spans="1:44" x14ac:dyDescent="0.2">
      <c r="A2067" s="1" t="s">
        <v>3203</v>
      </c>
      <c r="B2067" s="1">
        <v>22205951</v>
      </c>
      <c r="C2067" s="1" t="s">
        <v>7420</v>
      </c>
      <c r="E2067" s="21">
        <v>5</v>
      </c>
      <c r="G2067" s="1" t="s">
        <v>112</v>
      </c>
      <c r="H2067" s="1" t="s">
        <v>7145</v>
      </c>
      <c r="I2067" s="5">
        <v>40898</v>
      </c>
      <c r="J2067" s="18" t="s">
        <v>11</v>
      </c>
      <c r="K2067" s="1" t="s">
        <v>181</v>
      </c>
      <c r="L2067" s="1" t="s">
        <v>3321</v>
      </c>
      <c r="N2067" s="5" t="s">
        <v>10</v>
      </c>
      <c r="O2067" s="5" t="s">
        <v>10</v>
      </c>
      <c r="P2067" s="1" t="s">
        <v>5043</v>
      </c>
      <c r="Q2067" s="1" t="s">
        <v>33</v>
      </c>
      <c r="R2067" s="1" t="s">
        <v>5829</v>
      </c>
      <c r="S2067" s="1" t="s">
        <v>6243</v>
      </c>
      <c r="T2067" s="1">
        <v>2034</v>
      </c>
      <c r="U2067" s="1">
        <v>2034</v>
      </c>
      <c r="V2067" s="1">
        <v>2034</v>
      </c>
    </row>
    <row r="2068" spans="1:44" x14ac:dyDescent="0.2">
      <c r="A2068" s="1" t="s">
        <v>3204</v>
      </c>
      <c r="B2068" s="1">
        <v>22210626</v>
      </c>
      <c r="C2068" s="1" t="s">
        <v>7420</v>
      </c>
      <c r="E2068" s="21">
        <v>116047</v>
      </c>
      <c r="G2068" s="1" t="s">
        <v>6917</v>
      </c>
      <c r="H2068" s="1" t="s">
        <v>6619</v>
      </c>
      <c r="I2068" s="5">
        <v>40907</v>
      </c>
      <c r="J2068" s="18" t="s">
        <v>11</v>
      </c>
      <c r="K2068" s="1" t="s">
        <v>103</v>
      </c>
      <c r="L2068" s="1" t="s">
        <v>3322</v>
      </c>
      <c r="N2068" s="5" t="s">
        <v>10</v>
      </c>
      <c r="O2068" s="5" t="s">
        <v>10</v>
      </c>
      <c r="P2068" s="1" t="s">
        <v>5054</v>
      </c>
      <c r="Q2068" s="1" t="s">
        <v>33</v>
      </c>
      <c r="R2068" s="1" t="s">
        <v>6478</v>
      </c>
      <c r="S2068" s="1" t="s">
        <v>6244</v>
      </c>
      <c r="T2068" s="1">
        <v>7872</v>
      </c>
      <c r="U2068" s="1">
        <v>7872</v>
      </c>
      <c r="V2068" s="1">
        <v>7296</v>
      </c>
      <c r="AA2068" s="1">
        <v>576</v>
      </c>
    </row>
    <row r="2069" spans="1:44" x14ac:dyDescent="0.2">
      <c r="A2069" s="1" t="s">
        <v>3205</v>
      </c>
      <c r="B2069" s="1">
        <v>22216198</v>
      </c>
      <c r="C2069" s="1" t="s">
        <v>7420</v>
      </c>
      <c r="E2069" s="21">
        <v>40</v>
      </c>
      <c r="G2069" s="1" t="s">
        <v>6920</v>
      </c>
      <c r="H2069" s="1" t="s">
        <v>7202</v>
      </c>
      <c r="I2069" s="5">
        <v>40905</v>
      </c>
      <c r="J2069" s="18" t="s">
        <v>11</v>
      </c>
      <c r="K2069" s="1" t="s">
        <v>181</v>
      </c>
      <c r="L2069" s="1" t="s">
        <v>3323</v>
      </c>
      <c r="N2069" s="5" t="s">
        <v>10</v>
      </c>
      <c r="O2069" s="5" t="s">
        <v>10</v>
      </c>
      <c r="P2069" s="1" t="s">
        <v>3881</v>
      </c>
      <c r="Q2069" s="1" t="s">
        <v>33</v>
      </c>
      <c r="R2069" s="1" t="s">
        <v>4368</v>
      </c>
      <c r="S2069" s="1" t="s">
        <v>6243</v>
      </c>
      <c r="T2069" s="1">
        <v>397</v>
      </c>
      <c r="U2069" s="1">
        <v>397</v>
      </c>
      <c r="V2069" s="1">
        <v>397</v>
      </c>
    </row>
    <row r="2070" spans="1:44" x14ac:dyDescent="0.2">
      <c r="A2070" s="1" t="s">
        <v>1220</v>
      </c>
      <c r="B2070" s="1">
        <v>22216288</v>
      </c>
      <c r="C2070" s="1" t="s">
        <v>7420</v>
      </c>
      <c r="E2070" s="21">
        <v>28</v>
      </c>
      <c r="G2070" s="1" t="s">
        <v>197</v>
      </c>
      <c r="H2070" s="1" t="s">
        <v>7270</v>
      </c>
      <c r="I2070" s="5">
        <v>40904</v>
      </c>
      <c r="J2070" s="18" t="s">
        <v>10</v>
      </c>
      <c r="K2070" s="15" t="s">
        <v>181</v>
      </c>
      <c r="L2070" s="15" t="s">
        <v>6491</v>
      </c>
      <c r="N2070" s="5" t="s">
        <v>10</v>
      </c>
      <c r="O2070" s="5" t="s">
        <v>10</v>
      </c>
      <c r="P2070" s="1" t="s">
        <v>6329</v>
      </c>
      <c r="Q2070" s="1" t="s">
        <v>33</v>
      </c>
      <c r="R2070" s="1" t="s">
        <v>739</v>
      </c>
      <c r="S2070" s="1" t="s">
        <v>6243</v>
      </c>
      <c r="T2070" s="1">
        <v>1304</v>
      </c>
      <c r="U2070" s="1">
        <v>1304</v>
      </c>
      <c r="V2070" s="1">
        <v>1304</v>
      </c>
    </row>
    <row r="2071" spans="1:44" x14ac:dyDescent="0.2">
      <c r="A2071" s="1" t="s">
        <v>1543</v>
      </c>
      <c r="B2071" s="1">
        <v>22303337</v>
      </c>
      <c r="C2071" s="1" t="s">
        <v>7420</v>
      </c>
      <c r="D2071" s="1">
        <v>1</v>
      </c>
      <c r="E2071" s="21">
        <v>0</v>
      </c>
      <c r="G2071" s="1" t="s">
        <v>2511</v>
      </c>
      <c r="H2071" s="1" t="s">
        <v>7265</v>
      </c>
      <c r="I2071" s="5">
        <v>40729</v>
      </c>
      <c r="J2071" s="18" t="s">
        <v>11</v>
      </c>
      <c r="K2071" s="15" t="s">
        <v>6575</v>
      </c>
      <c r="L2071" s="15" t="s">
        <v>6490</v>
      </c>
      <c r="M2071" s="5"/>
      <c r="N2071" s="5" t="s">
        <v>10</v>
      </c>
      <c r="O2071" s="5" t="s">
        <v>10</v>
      </c>
      <c r="P2071" s="1" t="s">
        <v>5354</v>
      </c>
      <c r="Q2071" s="1" t="s">
        <v>3408</v>
      </c>
      <c r="R2071" s="2" t="s">
        <v>5906</v>
      </c>
      <c r="S2071" s="1" t="s">
        <v>6389</v>
      </c>
      <c r="T2071" s="1">
        <v>2306</v>
      </c>
      <c r="U2071" s="1">
        <v>1437</v>
      </c>
      <c r="V2071" s="1">
        <v>1437</v>
      </c>
      <c r="AH2071" s="1">
        <v>869</v>
      </c>
      <c r="AR2071" s="1">
        <v>869</v>
      </c>
    </row>
    <row r="2072" spans="1:44" x14ac:dyDescent="0.2">
      <c r="A2072" s="1" t="s">
        <v>1009</v>
      </c>
      <c r="B2072" s="1">
        <v>22384361</v>
      </c>
      <c r="C2072" s="1" t="s">
        <v>7420</v>
      </c>
      <c r="E2072" s="21">
        <v>66</v>
      </c>
      <c r="G2072" s="1" t="s">
        <v>64</v>
      </c>
      <c r="H2072" s="1" t="s">
        <v>7170</v>
      </c>
      <c r="I2072" s="5">
        <v>40848</v>
      </c>
      <c r="J2072" s="18" t="s">
        <v>10</v>
      </c>
      <c r="K2072" s="15" t="s">
        <v>6576</v>
      </c>
      <c r="L2072" s="15" t="s">
        <v>6522</v>
      </c>
      <c r="N2072" s="5" t="s">
        <v>10</v>
      </c>
      <c r="O2072" s="5" t="s">
        <v>10</v>
      </c>
      <c r="P2072" s="1" t="s">
        <v>5475</v>
      </c>
      <c r="Q2072" s="1" t="s">
        <v>5297</v>
      </c>
      <c r="R2072" s="1" t="s">
        <v>5957</v>
      </c>
      <c r="S2072" s="1" t="s">
        <v>6244</v>
      </c>
      <c r="T2072" s="1">
        <v>6092</v>
      </c>
      <c r="U2072" s="1">
        <v>1816</v>
      </c>
      <c r="V2072" s="1">
        <v>989</v>
      </c>
      <c r="W2072" s="1">
        <v>734</v>
      </c>
      <c r="AE2072" s="1">
        <v>93</v>
      </c>
      <c r="AH2072" s="1">
        <v>4276</v>
      </c>
      <c r="AI2072" s="1">
        <v>4276</v>
      </c>
    </row>
    <row r="2073" spans="1:44" x14ac:dyDescent="0.2">
      <c r="A2073" s="1" t="s">
        <v>3198</v>
      </c>
      <c r="B2073" s="1">
        <v>22420046</v>
      </c>
      <c r="C2073" s="1" t="s">
        <v>7420</v>
      </c>
      <c r="E2073" s="21">
        <v>139</v>
      </c>
      <c r="G2073" s="1" t="s">
        <v>591</v>
      </c>
      <c r="H2073" s="1" t="s">
        <v>7127</v>
      </c>
      <c r="I2073" s="5">
        <v>40855</v>
      </c>
      <c r="J2073" s="18" t="s">
        <v>10</v>
      </c>
      <c r="K2073" s="15" t="s">
        <v>879</v>
      </c>
      <c r="L2073" s="15" t="s">
        <v>6555</v>
      </c>
      <c r="N2073" s="5" t="s">
        <v>10</v>
      </c>
      <c r="O2073" s="5" t="s">
        <v>10</v>
      </c>
      <c r="P2073" s="1" t="s">
        <v>6326</v>
      </c>
      <c r="Q2073" s="1" t="s">
        <v>6391</v>
      </c>
      <c r="R2073" s="1" t="s">
        <v>5802</v>
      </c>
      <c r="S2073" s="1" t="s">
        <v>6243</v>
      </c>
      <c r="T2073" s="1">
        <v>45544</v>
      </c>
      <c r="U2073" s="1">
        <v>5808</v>
      </c>
      <c r="V2073" s="1">
        <v>5808</v>
      </c>
      <c r="AH2073" s="1">
        <v>39736</v>
      </c>
      <c r="AI2073" s="1">
        <v>39736</v>
      </c>
    </row>
    <row r="2074" spans="1:44" x14ac:dyDescent="0.2">
      <c r="A2074" s="1" t="s">
        <v>2649</v>
      </c>
      <c r="B2074" s="1" t="s">
        <v>2685</v>
      </c>
      <c r="C2074" s="1" t="s">
        <v>7420</v>
      </c>
      <c r="E2074" s="19">
        <v>10</v>
      </c>
      <c r="G2074" s="9" t="s">
        <v>6743</v>
      </c>
      <c r="H2074" s="1" t="s">
        <v>2676</v>
      </c>
      <c r="I2074" s="5">
        <v>40723</v>
      </c>
      <c r="J2074" s="18" t="s">
        <v>10</v>
      </c>
      <c r="K2074" s="1" t="s">
        <v>6483</v>
      </c>
      <c r="L2074" s="1" t="s">
        <v>2685</v>
      </c>
      <c r="N2074" s="5" t="s">
        <v>10</v>
      </c>
      <c r="O2074" s="5" t="s">
        <v>10</v>
      </c>
      <c r="P2074" s="1" t="s">
        <v>3366</v>
      </c>
      <c r="Q2074" s="1" t="s">
        <v>33</v>
      </c>
      <c r="R2074" s="2" t="s">
        <v>5781</v>
      </c>
      <c r="S2074" s="1" t="s">
        <v>6243</v>
      </c>
      <c r="T2074" s="1">
        <v>521</v>
      </c>
      <c r="U2074" s="1">
        <v>521</v>
      </c>
      <c r="V2074" s="1">
        <v>521</v>
      </c>
    </row>
    <row r="2075" spans="1:44" x14ac:dyDescent="0.2">
      <c r="A2075" s="1" t="s">
        <v>2040</v>
      </c>
      <c r="B2075" s="1" t="s">
        <v>3428</v>
      </c>
      <c r="C2075" s="1" t="s">
        <v>7420</v>
      </c>
      <c r="E2075" s="19">
        <v>33</v>
      </c>
      <c r="G2075" s="1" t="s">
        <v>2196</v>
      </c>
      <c r="H2075" s="1" t="s">
        <v>7222</v>
      </c>
      <c r="I2075" s="5">
        <v>40422</v>
      </c>
      <c r="J2075" s="18" t="s">
        <v>10</v>
      </c>
      <c r="K2075" s="1" t="s">
        <v>6482</v>
      </c>
      <c r="L2075" s="1" t="s">
        <v>6577</v>
      </c>
      <c r="N2075" s="5" t="s">
        <v>10</v>
      </c>
      <c r="O2075" s="5" t="s">
        <v>10</v>
      </c>
      <c r="P2075" s="1" t="s">
        <v>3424</v>
      </c>
      <c r="Q2075" s="1" t="s">
        <v>33</v>
      </c>
      <c r="R2075" s="2" t="s">
        <v>5954</v>
      </c>
      <c r="S2075" s="1" t="s">
        <v>6242</v>
      </c>
      <c r="T2075" s="1">
        <v>7751</v>
      </c>
      <c r="U2075" s="1">
        <v>7751</v>
      </c>
      <c r="X2075" s="1">
        <v>7751</v>
      </c>
    </row>
    <row r="2076" spans="1:44" x14ac:dyDescent="0.2">
      <c r="A2076" s="1" t="s">
        <v>222</v>
      </c>
      <c r="B2076" s="1" t="s">
        <v>3432</v>
      </c>
      <c r="C2076" s="1" t="s">
        <v>7420</v>
      </c>
      <c r="E2076" s="19">
        <v>1</v>
      </c>
      <c r="G2076" s="1" t="s">
        <v>6636</v>
      </c>
      <c r="H2076" s="1" t="s">
        <v>430</v>
      </c>
      <c r="I2076" s="5">
        <v>40679</v>
      </c>
      <c r="J2076" s="18" t="s">
        <v>10</v>
      </c>
      <c r="K2076" s="1" t="s">
        <v>3409</v>
      </c>
      <c r="L2076" s="1" t="s">
        <v>3410</v>
      </c>
      <c r="N2076" s="5" t="s">
        <v>10</v>
      </c>
      <c r="O2076" s="5" t="s">
        <v>10</v>
      </c>
      <c r="P2076" s="1" t="s">
        <v>3411</v>
      </c>
      <c r="Q2076" s="1" t="s">
        <v>3412</v>
      </c>
      <c r="R2076" s="2" t="s">
        <v>5953</v>
      </c>
      <c r="S2076" s="1" t="s">
        <v>6242</v>
      </c>
      <c r="T2076" s="1">
        <v>2509</v>
      </c>
      <c r="U2076" s="1">
        <v>1427</v>
      </c>
      <c r="X2076" s="1">
        <v>1427</v>
      </c>
      <c r="AH2076" s="1">
        <v>1082</v>
      </c>
      <c r="AK2076" s="1">
        <v>1082</v>
      </c>
    </row>
    <row r="2077" spans="1:44" x14ac:dyDescent="0.2">
      <c r="A2077" s="1" t="s">
        <v>3419</v>
      </c>
      <c r="B2077" s="1" t="s">
        <v>3427</v>
      </c>
      <c r="C2077" s="1" t="s">
        <v>7420</v>
      </c>
      <c r="E2077" s="19">
        <v>2</v>
      </c>
      <c r="G2077" s="1" t="s">
        <v>429</v>
      </c>
      <c r="H2077" s="1" t="s">
        <v>430</v>
      </c>
      <c r="I2077" s="5">
        <v>40787</v>
      </c>
      <c r="J2077" s="18" t="s">
        <v>10</v>
      </c>
      <c r="K2077" s="1" t="s">
        <v>6482</v>
      </c>
      <c r="L2077" s="1" t="s">
        <v>6583</v>
      </c>
      <c r="N2077" s="5" t="s">
        <v>10</v>
      </c>
      <c r="O2077" s="5" t="s">
        <v>10</v>
      </c>
      <c r="P2077" s="1" t="s">
        <v>3423</v>
      </c>
      <c r="Q2077" s="1" t="s">
        <v>33</v>
      </c>
      <c r="R2077" s="2" t="s">
        <v>5890</v>
      </c>
      <c r="S2077" s="1" t="s">
        <v>6242</v>
      </c>
      <c r="T2077" s="1">
        <v>3793</v>
      </c>
      <c r="U2077" s="1">
        <v>3793</v>
      </c>
      <c r="X2077" s="1">
        <v>3793</v>
      </c>
    </row>
    <row r="2078" spans="1:44" x14ac:dyDescent="0.2">
      <c r="A2078" s="1" t="s">
        <v>1135</v>
      </c>
      <c r="B2078" s="1" t="s">
        <v>3429</v>
      </c>
      <c r="C2078" s="1" t="s">
        <v>7420</v>
      </c>
      <c r="E2078" s="19">
        <v>37</v>
      </c>
      <c r="G2078" s="1" t="s">
        <v>3421</v>
      </c>
      <c r="H2078" s="1" t="s">
        <v>7157</v>
      </c>
      <c r="I2078" s="5">
        <v>40422</v>
      </c>
      <c r="J2078" s="18" t="s">
        <v>10</v>
      </c>
      <c r="K2078" s="1" t="s">
        <v>6482</v>
      </c>
      <c r="L2078" s="1" t="s">
        <v>6579</v>
      </c>
      <c r="N2078" s="5" t="s">
        <v>10</v>
      </c>
      <c r="O2078" s="5" t="s">
        <v>10</v>
      </c>
      <c r="P2078" s="1" t="s">
        <v>3422</v>
      </c>
      <c r="Q2078" s="1" t="s">
        <v>33</v>
      </c>
      <c r="R2078" s="2" t="s">
        <v>5916</v>
      </c>
      <c r="S2078" s="1" t="s">
        <v>6242</v>
      </c>
      <c r="T2078" s="1">
        <v>8842</v>
      </c>
      <c r="U2078" s="1">
        <v>8842</v>
      </c>
      <c r="X2078" s="1">
        <v>8842</v>
      </c>
    </row>
    <row r="2079" spans="1:44" x14ac:dyDescent="0.2">
      <c r="A2079" s="1" t="s">
        <v>3418</v>
      </c>
      <c r="B2079" s="1" t="s">
        <v>3426</v>
      </c>
      <c r="C2079" s="1" t="s">
        <v>7420</v>
      </c>
      <c r="E2079" s="19">
        <v>61</v>
      </c>
      <c r="G2079" s="1" t="s">
        <v>7066</v>
      </c>
      <c r="H2079" s="1" t="s">
        <v>7219</v>
      </c>
      <c r="I2079" s="5">
        <v>40422</v>
      </c>
      <c r="J2079" s="18" t="s">
        <v>10</v>
      </c>
      <c r="K2079" s="1" t="s">
        <v>6482</v>
      </c>
      <c r="L2079" s="1" t="s">
        <v>6580</v>
      </c>
      <c r="N2079" s="5" t="s">
        <v>10</v>
      </c>
      <c r="O2079" s="5" t="s">
        <v>10</v>
      </c>
      <c r="P2079" s="1" t="s">
        <v>3422</v>
      </c>
      <c r="Q2079" s="1" t="s">
        <v>33</v>
      </c>
      <c r="R2079" s="2" t="s">
        <v>5952</v>
      </c>
      <c r="S2079" s="1" t="s">
        <v>6242</v>
      </c>
      <c r="T2079" s="1">
        <v>8842</v>
      </c>
      <c r="U2079" s="1">
        <v>8842</v>
      </c>
      <c r="X2079" s="1">
        <v>8842</v>
      </c>
    </row>
    <row r="2080" spans="1:44" x14ac:dyDescent="0.2">
      <c r="A2080" s="1" t="s">
        <v>1435</v>
      </c>
      <c r="B2080" s="1" t="s">
        <v>3431</v>
      </c>
      <c r="C2080" s="1" t="s">
        <v>7420</v>
      </c>
      <c r="E2080" s="19">
        <v>12</v>
      </c>
      <c r="G2080" s="1" t="s">
        <v>370</v>
      </c>
      <c r="H2080" s="1" t="s">
        <v>7229</v>
      </c>
      <c r="I2080" s="5">
        <v>40709</v>
      </c>
      <c r="J2080" s="18" t="s">
        <v>10</v>
      </c>
      <c r="K2080" s="1" t="s">
        <v>6482</v>
      </c>
      <c r="L2080" s="1" t="s">
        <v>6582</v>
      </c>
      <c r="N2080" s="5" t="s">
        <v>10</v>
      </c>
      <c r="O2080" s="5" t="s">
        <v>10</v>
      </c>
      <c r="P2080" s="1" t="s">
        <v>3413</v>
      </c>
      <c r="Q2080" s="1" t="s">
        <v>3414</v>
      </c>
      <c r="R2080" s="2" t="s">
        <v>4503</v>
      </c>
      <c r="S2080" s="1" t="s">
        <v>6242</v>
      </c>
      <c r="T2080" s="1">
        <v>11844</v>
      </c>
      <c r="U2080" s="1">
        <v>6742</v>
      </c>
      <c r="X2080" s="1">
        <v>6742</v>
      </c>
      <c r="AH2080" s="1">
        <v>5102</v>
      </c>
      <c r="AK2080" s="1">
        <v>5102</v>
      </c>
    </row>
    <row r="2081" spans="1:37" x14ac:dyDescent="0.2">
      <c r="A2081" s="1" t="s">
        <v>3420</v>
      </c>
      <c r="B2081" s="1" t="s">
        <v>3430</v>
      </c>
      <c r="C2081" s="1" t="s">
        <v>7420</v>
      </c>
      <c r="D2081" s="1">
        <v>1</v>
      </c>
      <c r="E2081" s="19">
        <v>0</v>
      </c>
      <c r="G2081" s="1" t="s">
        <v>370</v>
      </c>
      <c r="H2081" s="1" t="s">
        <v>7229</v>
      </c>
      <c r="I2081" s="5">
        <v>40422</v>
      </c>
      <c r="J2081" s="18" t="s">
        <v>10</v>
      </c>
      <c r="K2081" s="1" t="s">
        <v>6482</v>
      </c>
      <c r="L2081" s="1" t="s">
        <v>6578</v>
      </c>
      <c r="N2081" s="5" t="s">
        <v>10</v>
      </c>
      <c r="O2081" s="5" t="s">
        <v>10</v>
      </c>
      <c r="P2081" s="1" t="s">
        <v>3422</v>
      </c>
      <c r="Q2081" s="1" t="s">
        <v>33</v>
      </c>
      <c r="R2081" s="2" t="s">
        <v>5916</v>
      </c>
      <c r="S2081" s="1" t="s">
        <v>6242</v>
      </c>
      <c r="T2081" s="1">
        <v>8842</v>
      </c>
      <c r="U2081" s="1">
        <v>8842</v>
      </c>
      <c r="X2081" s="1">
        <v>8842</v>
      </c>
    </row>
    <row r="2082" spans="1:37" x14ac:dyDescent="0.2">
      <c r="A2082" s="1" t="s">
        <v>3417</v>
      </c>
      <c r="B2082" s="1" t="s">
        <v>3425</v>
      </c>
      <c r="C2082" s="1" t="s">
        <v>7420</v>
      </c>
      <c r="E2082" s="19">
        <v>42</v>
      </c>
      <c r="G2082" s="1" t="s">
        <v>2196</v>
      </c>
      <c r="H2082" s="1" t="s">
        <v>7222</v>
      </c>
      <c r="I2082" s="5">
        <v>40422</v>
      </c>
      <c r="J2082" s="18" t="s">
        <v>10</v>
      </c>
      <c r="K2082" s="1" t="s">
        <v>6482</v>
      </c>
      <c r="L2082" s="1" t="s">
        <v>6581</v>
      </c>
      <c r="N2082" s="5" t="s">
        <v>10</v>
      </c>
      <c r="O2082" s="5" t="s">
        <v>10</v>
      </c>
      <c r="P2082" s="1" t="s">
        <v>3422</v>
      </c>
      <c r="Q2082" s="1" t="s">
        <v>33</v>
      </c>
      <c r="R2082" s="2" t="s">
        <v>5919</v>
      </c>
      <c r="S2082" s="1" t="s">
        <v>6242</v>
      </c>
      <c r="T2082" s="1">
        <v>8842</v>
      </c>
      <c r="U2082" s="1">
        <v>8842</v>
      </c>
      <c r="X2082" s="1">
        <v>8842</v>
      </c>
    </row>
    <row r="2083" spans="1:37" x14ac:dyDescent="0.2">
      <c r="A2083" s="1" t="s">
        <v>1135</v>
      </c>
      <c r="B2083" s="1" t="s">
        <v>7000</v>
      </c>
      <c r="C2083" s="1" t="s">
        <v>7420</v>
      </c>
      <c r="E2083" s="19">
        <v>46</v>
      </c>
      <c r="G2083" s="1" t="s">
        <v>6618</v>
      </c>
      <c r="H2083" s="1" t="s">
        <v>6627</v>
      </c>
      <c r="I2083" s="5">
        <v>40602</v>
      </c>
      <c r="J2083" s="18" t="s">
        <v>10</v>
      </c>
      <c r="K2083" s="1" t="s">
        <v>2305</v>
      </c>
      <c r="L2083" s="1" t="s">
        <v>7001</v>
      </c>
      <c r="M2083" s="1" t="s">
        <v>7002</v>
      </c>
      <c r="N2083" s="5" t="s">
        <v>10</v>
      </c>
      <c r="O2083" s="5" t="s">
        <v>10</v>
      </c>
      <c r="P2083" s="1" t="s">
        <v>7003</v>
      </c>
      <c r="Q2083" s="1" t="s">
        <v>7005</v>
      </c>
      <c r="R2083" s="2" t="s">
        <v>7004</v>
      </c>
      <c r="S2083" s="1" t="s">
        <v>6242</v>
      </c>
      <c r="T2083" s="1">
        <v>946</v>
      </c>
      <c r="U2083" s="1">
        <v>284</v>
      </c>
      <c r="X2083" s="1">
        <v>284</v>
      </c>
      <c r="AH2083" s="1">
        <v>662</v>
      </c>
      <c r="AK2083" s="1">
        <v>662</v>
      </c>
    </row>
  </sheetData>
  <sortState ref="A2:BD2083">
    <sortCondition ref="C2:C2083"/>
    <sortCondition ref="B2:B208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FinalFinal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NunyaBeezwax</dc:creator>
  <cp:lastModifiedBy>Johnson, Andrew (NIH/NHLBI) [E]</cp:lastModifiedBy>
  <dcterms:created xsi:type="dcterms:W3CDTF">2011-07-15T15:38:31Z</dcterms:created>
  <dcterms:modified xsi:type="dcterms:W3CDTF">2014-10-20T01:27:47Z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